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s\USER\Downloads\"/>
    </mc:Choice>
  </mc:AlternateContent>
  <xr:revisionPtr revIDLastSave="0" documentId="13_ncr:1_{E530FA37-80DD-4979-8081-EB8969321162}" xr6:coauthVersionLast="47" xr6:coauthVersionMax="47" xr10:uidLastSave="{00000000-0000-0000-0000-000000000000}"/>
  <bookViews>
    <workbookView xWindow="-120" yWindow="-120" windowWidth="29040" windowHeight="16440" activeTab="1" xr2:uid="{86671043-ABC3-4E1D-83FA-EB5E1C2C4AB6}"/>
  </bookViews>
  <sheets>
    <sheet name="Estaciones" sheetId="1" r:id="rId1"/>
    <sheet name="AMFE" sheetId="11" r:id="rId2"/>
    <sheet name="Infraestructura" sheetId="3" r:id="rId3"/>
    <sheet name="Insumos" sheetId="2" r:id="rId4"/>
    <sheet name="Nómina" sheetId="4" r:id="rId5"/>
    <sheet name="Costos" sheetId="6" r:id="rId6"/>
    <sheet name="Ventas" sheetId="7" r:id="rId7"/>
    <sheet name="General" sheetId="8" r:id="rId8"/>
    <sheet name="Inventarios" sheetId="10" r:id="rId9"/>
    <sheet name="Balanc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1" l="1"/>
  <c r="H15" i="11"/>
  <c r="H14" i="11"/>
  <c r="H13" i="11"/>
  <c r="H12" i="11"/>
  <c r="H11" i="11"/>
  <c r="H10" i="11"/>
  <c r="H9" i="11"/>
  <c r="H8" i="11"/>
  <c r="H7" i="11"/>
  <c r="H6" i="11"/>
  <c r="H5" i="11"/>
  <c r="H4" i="11"/>
  <c r="H3" i="11"/>
  <c r="H2" i="11"/>
  <c r="N12" i="8"/>
  <c r="B3" i="7"/>
  <c r="H13" i="8"/>
  <c r="H65" i="8"/>
  <c r="H67" i="8" s="1"/>
  <c r="J2" i="6"/>
  <c r="E56" i="8" s="1"/>
  <c r="I2" i="6"/>
  <c r="E41" i="8" s="1"/>
  <c r="H2" i="6"/>
  <c r="E28" i="8" s="1"/>
  <c r="G2" i="6"/>
  <c r="E19" i="8" s="1"/>
  <c r="F2" i="6"/>
  <c r="E60" i="8"/>
  <c r="E49" i="8"/>
  <c r="E37" i="8"/>
  <c r="E2" i="8"/>
  <c r="E52" i="8"/>
  <c r="E53" i="8"/>
  <c r="E54" i="8"/>
  <c r="E46" i="8"/>
  <c r="E47" i="8"/>
  <c r="E48" i="8"/>
  <c r="E38" i="8"/>
  <c r="E30" i="8"/>
  <c r="E31" i="8"/>
  <c r="E32" i="8"/>
  <c r="E33" i="8"/>
  <c r="E34" i="8"/>
  <c r="E35" i="8"/>
  <c r="E36" i="8"/>
  <c r="E27" i="8"/>
  <c r="E16" i="8"/>
  <c r="E17" i="8"/>
  <c r="E18" i="8"/>
  <c r="E21" i="8"/>
  <c r="E22" i="8"/>
  <c r="E23" i="8"/>
  <c r="E24" i="8"/>
  <c r="E25" i="8"/>
  <c r="E26" i="8"/>
  <c r="E15" i="8"/>
  <c r="E3" i="8"/>
  <c r="E4" i="8"/>
  <c r="E5" i="8"/>
  <c r="E6" i="8"/>
  <c r="E7" i="8"/>
  <c r="E8" i="8"/>
  <c r="E9" i="8"/>
  <c r="E10" i="8"/>
  <c r="E11" i="8"/>
  <c r="E12" i="8"/>
  <c r="E13" i="8"/>
  <c r="E14" i="8"/>
  <c r="D2" i="8"/>
  <c r="C33" i="4"/>
  <c r="H64" i="8"/>
  <c r="E37" i="3"/>
  <c r="E35" i="3"/>
  <c r="G38" i="10"/>
  <c r="C16" i="9" s="1"/>
  <c r="G26" i="10"/>
  <c r="I5" i="9" s="1"/>
  <c r="G50" i="10"/>
  <c r="I16" i="9" s="1"/>
  <c r="H18" i="7"/>
  <c r="G18" i="7"/>
  <c r="F18" i="7"/>
  <c r="E18" i="7"/>
  <c r="D18" i="7"/>
  <c r="C18" i="7"/>
  <c r="B18" i="7"/>
  <c r="G14" i="10"/>
  <c r="C5" i="9" s="1"/>
  <c r="D39" i="10" a="1"/>
  <c r="D39" i="10" s="1"/>
  <c r="D51" i="10" a="1"/>
  <c r="D51" i="10" s="1"/>
  <c r="E3" i="10"/>
  <c r="E2" i="10"/>
  <c r="D27" i="10" a="1"/>
  <c r="D27" i="10" s="1"/>
  <c r="D15" i="10" a="1"/>
  <c r="D15" i="10" s="1"/>
  <c r="D3" i="10" a="1"/>
  <c r="D3" i="10" s="1"/>
  <c r="C4" i="10"/>
  <c r="E4" i="10" s="1"/>
  <c r="C5" i="10" s="1"/>
  <c r="E5" i="10" s="1"/>
  <c r="C6" i="10" s="1"/>
  <c r="E6" i="10" s="1"/>
  <c r="C7" i="10" s="1"/>
  <c r="E7" i="10" s="1"/>
  <c r="C8" i="10" s="1"/>
  <c r="E8" i="10" s="1"/>
  <c r="C9" i="10" s="1"/>
  <c r="E9" i="10" s="1"/>
  <c r="C10" i="10" s="1"/>
  <c r="E10" i="10" s="1"/>
  <c r="C11" i="10" s="1"/>
  <c r="E11" i="10" s="1"/>
  <c r="C12" i="10" s="1"/>
  <c r="E12" i="10" s="1"/>
  <c r="C13" i="10" s="1"/>
  <c r="E13" i="10" s="1"/>
  <c r="C14" i="10" s="1"/>
  <c r="E14" i="10" s="1"/>
  <c r="C15" i="10" s="1"/>
  <c r="E15" i="10" s="1"/>
  <c r="C16" i="10" s="1"/>
  <c r="E16" i="10" s="1"/>
  <c r="C17" i="10" s="1"/>
  <c r="E17" i="10" s="1"/>
  <c r="C18" i="10" s="1"/>
  <c r="E18" i="10" s="1"/>
  <c r="C19" i="10" s="1"/>
  <c r="E19" i="10" s="1"/>
  <c r="C20" i="10" s="1"/>
  <c r="E20" i="10" s="1"/>
  <c r="C21" i="10" s="1"/>
  <c r="E21" i="10" s="1"/>
  <c r="C22" i="10" s="1"/>
  <c r="E22" i="10" s="1"/>
  <c r="C23" i="10" s="1"/>
  <c r="E23" i="10" s="1"/>
  <c r="C24" i="10" s="1"/>
  <c r="E24" i="10" s="1"/>
  <c r="C25" i="10" s="1"/>
  <c r="E25" i="10" s="1"/>
  <c r="C26" i="10" s="1"/>
  <c r="E26" i="10" s="1"/>
  <c r="C27" i="10" s="1"/>
  <c r="E27" i="10" s="1"/>
  <c r="C28" i="10" s="1"/>
  <c r="E28" i="10" s="1"/>
  <c r="C29" i="10" s="1"/>
  <c r="E29" i="10" s="1"/>
  <c r="C30" i="10" s="1"/>
  <c r="E30" i="10" s="1"/>
  <c r="C31" i="10" s="1"/>
  <c r="E31" i="10" s="1"/>
  <c r="C32" i="10" s="1"/>
  <c r="E32" i="10" s="1"/>
  <c r="C33" i="10" s="1"/>
  <c r="E33" i="10" s="1"/>
  <c r="C34" i="10" s="1"/>
  <c r="E34" i="10" s="1"/>
  <c r="C35" i="10" s="1"/>
  <c r="E35" i="10" s="1"/>
  <c r="C36" i="10" s="1"/>
  <c r="E36" i="10" s="1"/>
  <c r="C37" i="10" s="1"/>
  <c r="E37" i="10" s="1"/>
  <c r="C38" i="10" s="1"/>
  <c r="E38" i="10" s="1"/>
  <c r="C39" i="10" s="1"/>
  <c r="H66" i="8" l="1"/>
  <c r="E45" i="8"/>
  <c r="E44" i="8"/>
  <c r="E40" i="8"/>
  <c r="E43" i="8"/>
  <c r="E42" i="8"/>
  <c r="E59" i="8"/>
  <c r="E55" i="8"/>
  <c r="E58" i="8"/>
  <c r="E57" i="8"/>
  <c r="E29" i="8"/>
  <c r="E20" i="8"/>
  <c r="G2" i="8"/>
  <c r="E51" i="8"/>
  <c r="E62" i="8"/>
  <c r="E61" i="8"/>
  <c r="E39" i="8"/>
  <c r="E50" i="8"/>
  <c r="E39" i="10"/>
  <c r="C40" i="10" s="1"/>
  <c r="E40" i="10" s="1"/>
  <c r="C41" i="10" s="1"/>
  <c r="E41" i="10" s="1"/>
  <c r="C42" i="10" s="1"/>
  <c r="E42" i="10" s="1"/>
  <c r="C43" i="10" s="1"/>
  <c r="E43" i="10" s="1"/>
  <c r="C44" i="10" s="1"/>
  <c r="E44" i="10" s="1"/>
  <c r="C45" i="10" s="1"/>
  <c r="E45" i="10" s="1"/>
  <c r="C46" i="10" s="1"/>
  <c r="E46" i="10" s="1"/>
  <c r="C47" i="10" s="1"/>
  <c r="E47" i="10" s="1"/>
  <c r="C48" i="10" s="1"/>
  <c r="E48" i="10" s="1"/>
  <c r="C49" i="10" l="1"/>
  <c r="E49" i="10" s="1"/>
  <c r="C50" i="10" s="1"/>
  <c r="E50" i="10" s="1"/>
  <c r="C51" i="10" s="1"/>
  <c r="E51" i="10" s="1"/>
  <c r="C52" i="10" s="1"/>
  <c r="E52" i="10" s="1"/>
  <c r="C53" i="10" s="1"/>
  <c r="E53" i="10" s="1"/>
  <c r="C54" i="10" s="1"/>
  <c r="E54" i="10" s="1"/>
  <c r="C55" i="10" s="1"/>
  <c r="E55" i="10" s="1"/>
  <c r="C56" i="10" s="1"/>
  <c r="E56" i="10" s="1"/>
  <c r="C57" i="10" s="1"/>
  <c r="E57" i="10" s="1"/>
  <c r="C58" i="10" s="1"/>
  <c r="E58" i="10" s="1"/>
  <c r="C59" i="10" s="1"/>
  <c r="E59" i="10" s="1"/>
  <c r="C60" i="10" s="1"/>
  <c r="E60" i="10" s="1"/>
  <c r="C61" i="10" s="1"/>
  <c r="E61" i="10" s="1"/>
  <c r="C62" i="10" s="1"/>
  <c r="E62" i="10" s="1"/>
  <c r="G62" i="10" s="1"/>
  <c r="C27" i="9" s="1"/>
  <c r="E36" i="3" l="1"/>
  <c r="E29" i="3"/>
  <c r="D28" i="3"/>
  <c r="E28" i="3" s="1"/>
  <c r="E26" i="3"/>
  <c r="E27" i="3"/>
  <c r="E30" i="3"/>
  <c r="E31" i="3"/>
  <c r="E32" i="3"/>
  <c r="E33" i="3"/>
  <c r="E34" i="3"/>
  <c r="F52" i="8"/>
  <c r="F53" i="8"/>
  <c r="F54" i="8"/>
  <c r="F55" i="8"/>
  <c r="F56" i="8"/>
  <c r="F57" i="8"/>
  <c r="F58" i="8"/>
  <c r="F59" i="8"/>
  <c r="F60" i="8"/>
  <c r="F61" i="8"/>
  <c r="F62" i="8"/>
  <c r="F51" i="8"/>
  <c r="F40" i="8"/>
  <c r="F41" i="8"/>
  <c r="F42" i="8"/>
  <c r="F43" i="8"/>
  <c r="F44" i="8"/>
  <c r="F45" i="8"/>
  <c r="F46" i="8"/>
  <c r="F47" i="8"/>
  <c r="F48" i="8"/>
  <c r="F49" i="8"/>
  <c r="F50" i="8"/>
  <c r="F39" i="8"/>
  <c r="F28" i="8"/>
  <c r="F29" i="8"/>
  <c r="F30" i="8"/>
  <c r="F31" i="8"/>
  <c r="F32" i="8"/>
  <c r="F33" i="8"/>
  <c r="F34" i="8"/>
  <c r="F35" i="8"/>
  <c r="F36" i="8"/>
  <c r="F37" i="8"/>
  <c r="F38" i="8"/>
  <c r="F27" i="8"/>
  <c r="F16" i="8"/>
  <c r="F17" i="8"/>
  <c r="F18" i="8"/>
  <c r="F19" i="8"/>
  <c r="F20" i="8"/>
  <c r="F21" i="8"/>
  <c r="F22" i="8"/>
  <c r="F23" i="8"/>
  <c r="F24" i="8"/>
  <c r="F25" i="8"/>
  <c r="F26" i="8"/>
  <c r="F15" i="8"/>
  <c r="F3" i="8"/>
  <c r="F4" i="8"/>
  <c r="F5" i="8"/>
  <c r="F6" i="8"/>
  <c r="F7" i="8"/>
  <c r="F8" i="8"/>
  <c r="F9" i="8"/>
  <c r="F10" i="8"/>
  <c r="F11" i="8"/>
  <c r="F12" i="8"/>
  <c r="F13" i="8"/>
  <c r="F14" i="8"/>
  <c r="J19" i="7"/>
  <c r="K23" i="7"/>
  <c r="E23" i="7"/>
  <c r="I23" i="7"/>
  <c r="J23" i="7"/>
  <c r="G19" i="7"/>
  <c r="H19" i="7"/>
  <c r="I19" i="7"/>
  <c r="K19" i="7"/>
  <c r="L19" i="7"/>
  <c r="M19" i="7"/>
  <c r="H15" i="7"/>
  <c r="C23" i="7"/>
  <c r="D23" i="7"/>
  <c r="F23" i="7"/>
  <c r="G23" i="7"/>
  <c r="H23" i="7"/>
  <c r="L23" i="7"/>
  <c r="M23" i="7"/>
  <c r="B23" i="7"/>
  <c r="C19" i="7"/>
  <c r="D19" i="7"/>
  <c r="E19" i="7"/>
  <c r="F19" i="7"/>
  <c r="B19" i="7"/>
  <c r="C15" i="7"/>
  <c r="D15" i="7"/>
  <c r="E15" i="7"/>
  <c r="F15" i="7"/>
  <c r="G15" i="7"/>
  <c r="I15" i="7"/>
  <c r="J15" i="7"/>
  <c r="K15" i="7"/>
  <c r="L15" i="7"/>
  <c r="M15" i="7"/>
  <c r="B15" i="7"/>
  <c r="C11" i="7"/>
  <c r="D11" i="7"/>
  <c r="E11" i="7"/>
  <c r="F11" i="7"/>
  <c r="G11" i="7"/>
  <c r="H11" i="7"/>
  <c r="I11" i="7"/>
  <c r="J11" i="7"/>
  <c r="K11" i="7"/>
  <c r="L11" i="7"/>
  <c r="M11" i="7"/>
  <c r="B11" i="7"/>
  <c r="E7" i="7"/>
  <c r="D7" i="7"/>
  <c r="C7" i="7"/>
  <c r="B7" i="7"/>
  <c r="I9" i="4"/>
  <c r="I10" i="4"/>
  <c r="F9" i="4"/>
  <c r="F10" i="4"/>
  <c r="I7" i="4"/>
  <c r="I17" i="4" s="1"/>
  <c r="I19" i="4" s="1"/>
  <c r="I30" i="4" s="1"/>
  <c r="I20" i="4"/>
  <c r="F7" i="4"/>
  <c r="F20" i="4"/>
  <c r="F12" i="4"/>
  <c r="F17" i="4"/>
  <c r="F19" i="4" s="1"/>
  <c r="F29" i="4" s="1"/>
  <c r="C20" i="4"/>
  <c r="C12" i="4"/>
  <c r="C10" i="4"/>
  <c r="C9" i="4"/>
  <c r="C17" i="4" s="1"/>
  <c r="C19" i="4" s="1"/>
  <c r="E25" i="3"/>
  <c r="C14" i="2"/>
  <c r="C11" i="2"/>
  <c r="C10" i="2"/>
  <c r="C2" i="2"/>
  <c r="D19" i="3"/>
  <c r="E19" i="3" s="1"/>
  <c r="E24" i="3"/>
  <c r="E17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8" i="3"/>
  <c r="E20" i="3"/>
  <c r="E21" i="3"/>
  <c r="E22" i="3"/>
  <c r="E23" i="3"/>
  <c r="E2" i="3"/>
  <c r="C53" i="8" l="1"/>
  <c r="B39" i="8" a="1"/>
  <c r="B27" i="8" a="1"/>
  <c r="B15" i="8" a="1"/>
  <c r="B51" i="8" a="1"/>
  <c r="F7" i="7"/>
  <c r="G7" i="7"/>
  <c r="H7" i="7"/>
  <c r="I7" i="7"/>
  <c r="J7" i="7"/>
  <c r="K7" i="7"/>
  <c r="L7" i="7"/>
  <c r="M7" i="7"/>
  <c r="I21" i="4"/>
  <c r="I22" i="4"/>
  <c r="I26" i="4"/>
  <c r="I27" i="4"/>
  <c r="I24" i="4"/>
  <c r="I25" i="4" s="1"/>
  <c r="I28" i="4"/>
  <c r="I23" i="4"/>
  <c r="I31" i="4" s="1"/>
  <c r="I29" i="4"/>
  <c r="F21" i="4"/>
  <c r="F22" i="4"/>
  <c r="F23" i="4"/>
  <c r="F24" i="4"/>
  <c r="F30" i="4"/>
  <c r="F26" i="4"/>
  <c r="F27" i="4"/>
  <c r="F28" i="4"/>
  <c r="F25" i="4"/>
  <c r="I12" i="4"/>
  <c r="C29" i="4"/>
  <c r="C26" i="4"/>
  <c r="C24" i="4"/>
  <c r="C25" i="4" s="1"/>
  <c r="C22" i="4"/>
  <c r="C31" i="4" s="1"/>
  <c r="C27" i="4"/>
  <c r="C23" i="4"/>
  <c r="C28" i="4"/>
  <c r="C21" i="4"/>
  <c r="C30" i="4"/>
  <c r="C24" i="2"/>
  <c r="B2" i="6" s="1"/>
  <c r="B15" i="8" l="1"/>
  <c r="B27" i="8"/>
  <c r="J23" i="6"/>
  <c r="D58" i="8" s="1"/>
  <c r="G58" i="8" s="1"/>
  <c r="J19" i="6"/>
  <c r="D46" i="8" s="1"/>
  <c r="G46" i="8" s="1"/>
  <c r="J15" i="6"/>
  <c r="D34" i="8" s="1"/>
  <c r="G34" i="8" s="1"/>
  <c r="J11" i="6"/>
  <c r="D22" i="8" s="1"/>
  <c r="G22" i="8" s="1"/>
  <c r="M7" i="6"/>
  <c r="D13" i="8" s="1"/>
  <c r="G13" i="8" s="1"/>
  <c r="F15" i="6"/>
  <c r="D30" i="8" s="1"/>
  <c r="G30" i="8" s="1"/>
  <c r="H15" i="6"/>
  <c r="D32" i="8" s="1"/>
  <c r="G32" i="8" s="1"/>
  <c r="K23" i="6"/>
  <c r="D59" i="8" s="1"/>
  <c r="G59" i="8" s="1"/>
  <c r="K19" i="6"/>
  <c r="D47" i="8" s="1"/>
  <c r="G47" i="8" s="1"/>
  <c r="K15" i="6"/>
  <c r="D35" i="8" s="1"/>
  <c r="G35" i="8" s="1"/>
  <c r="K11" i="6"/>
  <c r="D23" i="8" s="1"/>
  <c r="G23" i="8" s="1"/>
  <c r="L7" i="6"/>
  <c r="D12" i="8" s="1"/>
  <c r="G12" i="8" s="1"/>
  <c r="F23" i="6"/>
  <c r="D54" i="8" s="1"/>
  <c r="G54" i="8" s="1"/>
  <c r="H23" i="6"/>
  <c r="D56" i="8" s="1"/>
  <c r="G56" i="8" s="1"/>
  <c r="L23" i="6"/>
  <c r="D60" i="8" s="1"/>
  <c r="G60" i="8" s="1"/>
  <c r="L19" i="6"/>
  <c r="D48" i="8" s="1"/>
  <c r="G48" i="8" s="1"/>
  <c r="L15" i="6"/>
  <c r="D36" i="8" s="1"/>
  <c r="G36" i="8" s="1"/>
  <c r="L11" i="6"/>
  <c r="D24" i="8" s="1"/>
  <c r="G24" i="8" s="1"/>
  <c r="K7" i="6"/>
  <c r="D11" i="8" s="1"/>
  <c r="G11" i="8" s="1"/>
  <c r="E7" i="6"/>
  <c r="D5" i="8" s="1"/>
  <c r="G5" i="8" s="1"/>
  <c r="M23" i="6"/>
  <c r="D61" i="8" s="1"/>
  <c r="G61" i="8" s="1"/>
  <c r="M19" i="6"/>
  <c r="D49" i="8" s="1"/>
  <c r="G49" i="8" s="1"/>
  <c r="M15" i="6"/>
  <c r="D37" i="8" s="1"/>
  <c r="G37" i="8" s="1"/>
  <c r="M11" i="6"/>
  <c r="D25" i="8" s="1"/>
  <c r="G25" i="8" s="1"/>
  <c r="J7" i="6"/>
  <c r="D10" i="8" s="1"/>
  <c r="G10" i="8" s="1"/>
  <c r="N23" i="6"/>
  <c r="D62" i="8" s="1"/>
  <c r="G62" i="8" s="1"/>
  <c r="N19" i="6"/>
  <c r="D50" i="8" s="1"/>
  <c r="G50" i="8" s="1"/>
  <c r="N15" i="6"/>
  <c r="D38" i="8" s="1"/>
  <c r="G38" i="8" s="1"/>
  <c r="N11" i="6"/>
  <c r="D26" i="8" s="1"/>
  <c r="G26" i="8" s="1"/>
  <c r="I7" i="6"/>
  <c r="D9" i="8" s="1"/>
  <c r="G9" i="8" s="1"/>
  <c r="C7" i="6"/>
  <c r="D3" i="8" s="1"/>
  <c r="G3" i="8" s="1"/>
  <c r="C23" i="6"/>
  <c r="D51" i="8" s="1"/>
  <c r="G51" i="8" s="1"/>
  <c r="C19" i="6"/>
  <c r="D39" i="8" s="1"/>
  <c r="G39" i="8" s="1"/>
  <c r="C15" i="6"/>
  <c r="D27" i="8" s="1"/>
  <c r="G27" i="8" s="1"/>
  <c r="C11" i="6"/>
  <c r="D15" i="8" s="1"/>
  <c r="G15" i="8" s="1"/>
  <c r="H7" i="6"/>
  <c r="D8" i="8" s="1"/>
  <c r="G8" i="8" s="1"/>
  <c r="D23" i="6"/>
  <c r="D52" i="8" s="1"/>
  <c r="G52" i="8" s="1"/>
  <c r="D19" i="6"/>
  <c r="D40" i="8" s="1"/>
  <c r="G40" i="8" s="1"/>
  <c r="D15" i="6"/>
  <c r="D28" i="8" s="1"/>
  <c r="G28" i="8" s="1"/>
  <c r="D11" i="6"/>
  <c r="D16" i="8" s="1"/>
  <c r="G16" i="8" s="1"/>
  <c r="G7" i="6"/>
  <c r="D7" i="8" s="1"/>
  <c r="G7" i="8" s="1"/>
  <c r="H11" i="6"/>
  <c r="D20" i="8" s="1"/>
  <c r="G20" i="8" s="1"/>
  <c r="E23" i="6"/>
  <c r="D53" i="8" s="1"/>
  <c r="E19" i="6"/>
  <c r="D41" i="8" s="1"/>
  <c r="G41" i="8" s="1"/>
  <c r="E15" i="6"/>
  <c r="D29" i="8" s="1"/>
  <c r="G29" i="8" s="1"/>
  <c r="E11" i="6"/>
  <c r="D17" i="8" s="1"/>
  <c r="G17" i="8" s="1"/>
  <c r="F7" i="6"/>
  <c r="D6" i="8" s="1"/>
  <c r="G6" i="8" s="1"/>
  <c r="F11" i="6"/>
  <c r="D18" i="8" s="1"/>
  <c r="G18" i="8" s="1"/>
  <c r="G23" i="6"/>
  <c r="D55" i="8" s="1"/>
  <c r="G55" i="8" s="1"/>
  <c r="G19" i="6"/>
  <c r="D43" i="8" s="1"/>
  <c r="G43" i="8" s="1"/>
  <c r="G15" i="6"/>
  <c r="D31" i="8" s="1"/>
  <c r="G31" i="8" s="1"/>
  <c r="G11" i="6"/>
  <c r="D19" i="8" s="1"/>
  <c r="G19" i="8" s="1"/>
  <c r="D7" i="6"/>
  <c r="D4" i="8" s="1"/>
  <c r="G4" i="8" s="1"/>
  <c r="H19" i="6"/>
  <c r="D44" i="8" s="1"/>
  <c r="G44" i="8" s="1"/>
  <c r="I23" i="6"/>
  <c r="D57" i="8" s="1"/>
  <c r="G57" i="8" s="1"/>
  <c r="I19" i="6"/>
  <c r="D45" i="8" s="1"/>
  <c r="G45" i="8" s="1"/>
  <c r="I15" i="6"/>
  <c r="D33" i="8" s="1"/>
  <c r="G33" i="8" s="1"/>
  <c r="I11" i="6"/>
  <c r="D21" i="8" s="1"/>
  <c r="G21" i="8" s="1"/>
  <c r="N7" i="6"/>
  <c r="D14" i="8" s="1"/>
  <c r="G14" i="8" s="1"/>
  <c r="B7" i="6"/>
  <c r="F19" i="6"/>
  <c r="D42" i="8" s="1"/>
  <c r="G42" i="8" s="1"/>
  <c r="C25" i="8"/>
  <c r="C59" i="8"/>
  <c r="C21" i="8"/>
  <c r="C27" i="8"/>
  <c r="C10" i="8"/>
  <c r="C7" i="8"/>
  <c r="C61" i="8"/>
  <c r="C37" i="8"/>
  <c r="C60" i="8"/>
  <c r="C47" i="8"/>
  <c r="C15" i="8"/>
  <c r="C45" i="8"/>
  <c r="C39" i="8"/>
  <c r="C46" i="8"/>
  <c r="H46" i="8" s="1"/>
  <c r="C19" i="8"/>
  <c r="H19" i="8" s="1"/>
  <c r="C22" i="8"/>
  <c r="H22" i="8" s="1"/>
  <c r="C57" i="8"/>
  <c r="C51" i="8"/>
  <c r="C8" i="8"/>
  <c r="C31" i="8"/>
  <c r="C35" i="8"/>
  <c r="C36" i="8"/>
  <c r="C48" i="8"/>
  <c r="C23" i="8"/>
  <c r="C4" i="8"/>
  <c r="C14" i="8"/>
  <c r="C20" i="8"/>
  <c r="C43" i="8"/>
  <c r="C9" i="8"/>
  <c r="C16" i="8"/>
  <c r="C26" i="8"/>
  <c r="C32" i="8"/>
  <c r="H32" i="8" s="1"/>
  <c r="C55" i="8"/>
  <c r="H55" i="8" s="1"/>
  <c r="C33" i="8"/>
  <c r="C49" i="8"/>
  <c r="C30" i="8"/>
  <c r="C54" i="8"/>
  <c r="H54" i="8" s="1"/>
  <c r="C28" i="8"/>
  <c r="C38" i="8"/>
  <c r="C44" i="8"/>
  <c r="C12" i="8"/>
  <c r="C17" i="8"/>
  <c r="C24" i="8"/>
  <c r="H24" i="8" s="1"/>
  <c r="C11" i="8"/>
  <c r="C42" i="8"/>
  <c r="H42" i="8" s="1"/>
  <c r="C40" i="8"/>
  <c r="C50" i="8"/>
  <c r="C56" i="8"/>
  <c r="C34" i="8"/>
  <c r="H34" i="8" s="1"/>
  <c r="C29" i="8"/>
  <c r="C18" i="8"/>
  <c r="H18" i="8" s="1"/>
  <c r="C3" i="8"/>
  <c r="C58" i="8"/>
  <c r="H58" i="8" s="1"/>
  <c r="C52" i="8"/>
  <c r="H52" i="8" s="1"/>
  <c r="C62" i="8"/>
  <c r="C13" i="8"/>
  <c r="C6" i="8"/>
  <c r="C5" i="8"/>
  <c r="C41" i="8"/>
  <c r="C2" i="8"/>
  <c r="B39" i="8"/>
  <c r="B3" i="8" a="1"/>
  <c r="B51" i="8"/>
  <c r="F31" i="4"/>
  <c r="H38" i="8" l="1"/>
  <c r="H35" i="8"/>
  <c r="H44" i="8"/>
  <c r="G53" i="8"/>
  <c r="H53" i="8" s="1"/>
  <c r="H56" i="8"/>
  <c r="H30" i="8"/>
  <c r="H48" i="8"/>
  <c r="H36" i="8"/>
  <c r="H60" i="8"/>
  <c r="H26" i="8"/>
  <c r="H50" i="8"/>
  <c r="H10" i="8"/>
  <c r="H11" i="8"/>
  <c r="L4" i="8"/>
  <c r="L7" i="8"/>
  <c r="L6" i="8"/>
  <c r="L5" i="8"/>
  <c r="H37" i="8"/>
  <c r="H27" i="8"/>
  <c r="H20" i="8"/>
  <c r="H17" i="8"/>
  <c r="H12" i="8"/>
  <c r="H23" i="8"/>
  <c r="H2" i="8"/>
  <c r="M2" i="8"/>
  <c r="H7" i="8"/>
  <c r="H9" i="8"/>
  <c r="H21" i="8"/>
  <c r="H4" i="8"/>
  <c r="H25" i="8"/>
  <c r="H51" i="8"/>
  <c r="H49" i="8"/>
  <c r="H31" i="8"/>
  <c r="H62" i="8"/>
  <c r="H8" i="8"/>
  <c r="H61" i="8"/>
  <c r="H43" i="8"/>
  <c r="H57" i="8"/>
  <c r="H29" i="8"/>
  <c r="H28" i="8"/>
  <c r="H14" i="8"/>
  <c r="H59" i="8"/>
  <c r="H39" i="8"/>
  <c r="H45" i="8"/>
  <c r="H16" i="8"/>
  <c r="H41" i="8"/>
  <c r="H5" i="8"/>
  <c r="H40" i="8"/>
  <c r="H33" i="8"/>
  <c r="H47" i="8"/>
  <c r="B3" i="8"/>
  <c r="H6" i="8" l="1"/>
  <c r="M4" i="8"/>
  <c r="M7" i="8"/>
  <c r="M3" i="8"/>
  <c r="N2" i="8"/>
  <c r="P2" i="8" s="1"/>
  <c r="R2" i="8" s="1"/>
  <c r="M6" i="8"/>
  <c r="M5" i="8"/>
  <c r="H15" i="8"/>
  <c r="N4" i="8" s="1"/>
  <c r="O4" i="8" s="1"/>
  <c r="L5" i="9" s="1"/>
  <c r="L7" i="9" s="1"/>
  <c r="N6" i="8"/>
  <c r="O6" i="8" s="1"/>
  <c r="L16" i="9" s="1"/>
  <c r="L18" i="9" s="1"/>
  <c r="N5" i="8"/>
  <c r="O5" i="8" s="1"/>
  <c r="F16" i="9" s="1"/>
  <c r="F18" i="9" s="1"/>
  <c r="N7" i="8"/>
  <c r="H3" i="8"/>
  <c r="L3" i="8"/>
  <c r="I2" i="8"/>
  <c r="O7" i="8" l="1"/>
  <c r="F27" i="9" s="1"/>
  <c r="F29" i="9" s="1"/>
  <c r="I3" i="8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N3" i="8"/>
  <c r="O3" i="8" s="1"/>
  <c r="F5" i="9" s="1"/>
  <c r="P7" i="8"/>
  <c r="P5" i="8"/>
  <c r="P6" i="8"/>
  <c r="P4" i="8"/>
  <c r="Q5" i="8" l="1"/>
  <c r="R5" i="8" s="1"/>
  <c r="Q4" i="8"/>
  <c r="Q6" i="8"/>
  <c r="R6" i="8" s="1"/>
  <c r="Q7" i="8"/>
  <c r="R7" i="8" s="1"/>
  <c r="N8" i="8"/>
  <c r="P3" i="8"/>
  <c r="Q3" i="8" l="1"/>
  <c r="C4" i="9" s="1"/>
  <c r="C7" i="9" s="1"/>
  <c r="R4" i="8"/>
  <c r="C15" i="9"/>
  <c r="C18" i="9" s="1"/>
  <c r="F21" i="9" s="1"/>
  <c r="I4" i="9"/>
  <c r="I7" i="9" s="1"/>
  <c r="L10" i="9" s="1"/>
  <c r="I15" i="9"/>
  <c r="I18" i="9" s="1"/>
  <c r="L21" i="9" s="1"/>
  <c r="C26" i="9"/>
  <c r="C29" i="9" s="1"/>
  <c r="F32" i="9" s="1"/>
  <c r="N9" i="8"/>
  <c r="N10" i="8"/>
  <c r="C3" i="10"/>
  <c r="R3" i="8" l="1"/>
  <c r="F7" i="9" l="1"/>
  <c r="F10" i="9" s="1"/>
  <c r="R8" i="8"/>
  <c r="R10" i="8" l="1"/>
  <c r="R9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<sst xmlns="http://schemas.openxmlformats.org/spreadsheetml/2006/main" count="557" uniqueCount="369">
  <si>
    <t>Descripción</t>
  </si>
  <si>
    <t>Cámaras de seguridad</t>
  </si>
  <si>
    <t>Total</t>
  </si>
  <si>
    <t>Marcado</t>
  </si>
  <si>
    <t>Chasis</t>
  </si>
  <si>
    <t>Batería</t>
  </si>
  <si>
    <t>Manillar y llantas</t>
  </si>
  <si>
    <t>Motor</t>
  </si>
  <si>
    <t>Frenos y suspensión</t>
  </si>
  <si>
    <t>Luces y cableado</t>
  </si>
  <si>
    <t xml:space="preserve">Asiento y detalles </t>
  </si>
  <si>
    <t>Celda portaplaca</t>
  </si>
  <si>
    <t>Celda inspección</t>
  </si>
  <si>
    <t>Se recibe el chasis de la moto, se hace una limpieza superficial, se suelda toda la tornillería para la futura colocación de los demás sistemas</t>
  </si>
  <si>
    <t>Cosas necesarias</t>
  </si>
  <si>
    <t>Se coloca la caja que soporta la batería y se coloca la batería así como los tornillos y conectores para luego conectar la parte eléctrica</t>
  </si>
  <si>
    <t>Se colocan el manillar y las llantas, se revisa que la alineación sea correcta</t>
  </si>
  <si>
    <t>Se coloca el motor y se conecta con la batería</t>
  </si>
  <si>
    <t>Se colocan el sistema de frenos y la suspensión de la motocicleta</t>
  </si>
  <si>
    <t>Se coloca el sistema de iluminación de la moto y se conecta a la batería. Se realizan las demás conexiones eléctricas de la moto y se verifica que las conexiones estén en buen estado</t>
  </si>
  <si>
    <t>Se colocan, el asiento y los detalles finales, entre los que se encuentran, carcazas, tapas, adhesivos y el portaplacas de la moto</t>
  </si>
  <si>
    <t>Se realiza el corte laser del porta placas y se realian los dobleces necesarios para que su forma sea la adecuada</t>
  </si>
  <si>
    <t>Se hace una revisión general de la moto, en la que hacen inspecciones mécánica, eléctrica y de batería de la motocicleta</t>
  </si>
  <si>
    <t>Estaciones</t>
  </si>
  <si>
    <t>* Máquina de corte láser</t>
  </si>
  <si>
    <t>Banda transporadora</t>
  </si>
  <si>
    <t>Estantería</t>
  </si>
  <si>
    <t xml:space="preserve">Herramientas </t>
  </si>
  <si>
    <t>Equipos de medición</t>
  </si>
  <si>
    <t>Suministros (Depende de cada estación)</t>
  </si>
  <si>
    <t>Se realiza el marcado del chasis mediante un sticker con un QR que identifica el tipo de moto que se va a ensamblar, y se graba el serial del chasis</t>
  </si>
  <si>
    <t>Elementos generales de las estaciones</t>
  </si>
  <si>
    <t>Elementos de la planta</t>
  </si>
  <si>
    <t>Tapetes antifatiga</t>
  </si>
  <si>
    <t>Alarmas,  extintores y Botiquines</t>
  </si>
  <si>
    <t>Señalización de seguridad</t>
  </si>
  <si>
    <t xml:space="preserve">Elementos de aseo </t>
  </si>
  <si>
    <t>Tableta de consignación de datos</t>
  </si>
  <si>
    <t>Servicio eléctrico</t>
  </si>
  <si>
    <t>Servicio de agua</t>
  </si>
  <si>
    <t>Servicio de limpieza</t>
  </si>
  <si>
    <t>Sistema de seguridad (Cámaras)</t>
  </si>
  <si>
    <t>Elementos de seguridad de los trabajadores (Casco, botas, guantes, overol, etc...)</t>
  </si>
  <si>
    <t>* Máquina de grabado            * Impresora de etiquetas QR</t>
  </si>
  <si>
    <t>* Robot                                      * Equipo de soldadura</t>
  </si>
  <si>
    <t>* Equilibradora de ruedas de moto</t>
  </si>
  <si>
    <t>Robot ABB IRB 2600ID</t>
  </si>
  <si>
    <t>Único</t>
  </si>
  <si>
    <t>Cuestan 20000 dolares en Alibaba y se hace la conversion a la tasa del 8 de junio, no incluye precio de envio</t>
  </si>
  <si>
    <t>https://www.alibaba.com/product-detail/Robot-Arm-6-Axis-IRB-2600ID_1600062931154.html</t>
  </si>
  <si>
    <t>Licencia Siemens NX X Mach 3</t>
  </si>
  <si>
    <t>Mensual</t>
  </si>
  <si>
    <t>Mensualidad</t>
  </si>
  <si>
    <t xml:space="preserve">https://openit.com/es/siemens-nx-reinvents-to-cater-to-aec-industrys-needs/ </t>
  </si>
  <si>
    <t>Bodega 3000m2</t>
  </si>
  <si>
    <t>Bodega en la Perseverancia Bogotá</t>
  </si>
  <si>
    <t>Licencia Rockwell Automation Studio 5000</t>
  </si>
  <si>
    <t>Pago de licencia perpetua</t>
  </si>
  <si>
    <t xml:space="preserve">https://www.codingplc.com/blog/how-to-buy-right-studio5000-license </t>
  </si>
  <si>
    <t>Septimo Eje para los robots</t>
  </si>
  <si>
    <t>No incluye precio de envio</t>
  </si>
  <si>
    <t xml:space="preserve">https://www.alibaba.com/product-detail/Customized-Heavy-Duty-Construction-Machinery-Parts_1601295233805.html?spm=a2700.factory_search.0.0.56695fb2MaEOYH </t>
  </si>
  <si>
    <t>Máquina de grabado</t>
  </si>
  <si>
    <t>Equilibradora de ruedas de moto</t>
  </si>
  <si>
    <t>Equipo de soldadura</t>
  </si>
  <si>
    <t>Máquina de corte láser</t>
  </si>
  <si>
    <t xml:space="preserve">Único </t>
  </si>
  <si>
    <t>Concepto</t>
  </si>
  <si>
    <t>Cantidad</t>
  </si>
  <si>
    <t>Valor unitario</t>
  </si>
  <si>
    <t>Valor total</t>
  </si>
  <si>
    <t>Tipo de gasto</t>
  </si>
  <si>
    <t>Observaciones</t>
  </si>
  <si>
    <t>Links relacionados</t>
  </si>
  <si>
    <t>https://www.heatsign.com/es/producto/punzonadora-de-numeros-de-chasis/</t>
  </si>
  <si>
    <t>Impresora de etiquetas QR + 10 rollos de adhesivo</t>
  </si>
  <si>
    <t>Incluye envío</t>
  </si>
  <si>
    <t>https://articulo.mercadolibre.com.co/MCO-2864579434-esab-rebel-emp-215ic-paratig-migstick-por-esab-rebel-_JM?matt_tool=19390127</t>
  </si>
  <si>
    <t>https://www.amazon.com/Equilibrador-motocicleta-equilibrador-neum%C3%A1ticos-ajustable/dp/B0BQMDMSHV/ref=asc_df_B0BQMDMSHV?language=es_US&amp;mcid=939996adb1ac36a6966a64f4dd839465&amp;tag=cogoshpadde-20&amp;linkCode=df0&amp;hvadid=720493026944&amp;hvpos=&amp;hvnetw=g&amp;hvrand=12017475025927553183&amp;hvpone=&amp;hvptwo=&amp;hvqmt=&amp;hvdev=c&amp;hvdvcmdl=&amp;hvlocint=&amp;hvlocphy=9197987&amp;hvtargid=pla-2244966108614&amp;psc=1&amp;language=es_US</t>
  </si>
  <si>
    <t>Se debe comprar el rollo de adhesivo cuando se termine. 109,05 Euros  y se hace la conversion a la tasa del 9 de julio</t>
  </si>
  <si>
    <t>85 dólares por unidad  y se hace la conversion a la tasa del 9 de junio</t>
  </si>
  <si>
    <t>1800 dólares  y se hace la conversion a la tasa del 9 de junio</t>
  </si>
  <si>
    <t>https://www.homecenter.com.co/homecenter-co/product/643963/tapo-c500/643963</t>
  </si>
  <si>
    <t>1300 dólares c/u   y se hace la conversion a la tasa del 10 de junio</t>
  </si>
  <si>
    <t>https://www.alibaba.com/product-detail/Factory-Price-Industrial-Inclined-1-Meter_1601211722502.html?spm=a2700.7735675.0.0.3e6cjxdGjxdG9w&amp;s=p</t>
  </si>
  <si>
    <t>https://www.homecenter.com.co/homecenter-co/product/910086/estante-metalico-4-niveles-160x60x183-cm/910086/?kid=goosho_1161562&amp;shop=googleShopping&amp;gad_source=4&amp;gad_campaignid=17622046203&amp;gbraid=0AAAAADt6wnoGBJ9mvAlvsmrd32U6ESwBK&amp;gclid=CjwKCAjwyb3DBhBlEiwAqZLe5Mei8Xd6--_lIAQa77k8zVSk1ctT5qollv-n66OtnBYoxQDTGWLUshoC64UQAvD_BwE</t>
  </si>
  <si>
    <t>189 dólares y se hace la conversión a la tasa del 10 de junio</t>
  </si>
  <si>
    <t>https://www.amazon.com/STARWORK-Mechanic-herramientas-mec%C3%A1nicas-profesional/dp/B0DBKT8NCH/ref=asc_df_B093GM4KHL?language=es_US&amp;mcid=bfd935f4e908326d84f43bd15b3af539&amp;tag=cogoshpadde-20&amp;linkCode=df0&amp;hvadid=721997337734&amp;hvpos=&amp;hvnetw=g&amp;hvrand=3766601962167227046&amp;hvpone=&amp;hvptwo=&amp;hvqmt=&amp;hvdev=c&amp;hvdvcmdl=&amp;hvlocint=&amp;hvlocphy=9197987&amp;hvtargid=pla-1650480184027&amp;th=1</t>
  </si>
  <si>
    <t xml:space="preserve">Herramientas (kit 314 P) </t>
  </si>
  <si>
    <t>https://www.fincaraiz.com.co/bodega-en-arriendo-en-la-perseverancia-bogota/191976092</t>
  </si>
  <si>
    <t>Incluye Manómetro, tester de carga, Multímetro digital, Torquímetro, Micrómetro y Calibrador Vernier. [129,96 Dólares + 51.001 COP y se hace la conversion a la tasa del 10 de junio]</t>
  </si>
  <si>
    <t>https://github.com/natc27/Blue-energy-landing/blob/main/Archivos/PDFs/Links%20_KIT%20de%20herramientas%20de%20medici%C3%B3n_.docx.pdf</t>
  </si>
  <si>
    <t>https://mascolortapetes.com/producto/tapetes-antifatiga/?srsltid=AfmBOoor1ajLaW9aI43X2dmFsaxxHLmFSB0nD7tu_sRVg9RE2Mom1iow</t>
  </si>
  <si>
    <t xml:space="preserve">Elementos de seguridad de los trabajadores </t>
  </si>
  <si>
    <t>https://github.com/natc27/Blue-energy-landing/blob/main/Archivos/PDFs/Links%20_KIT%20de%20elementos%20de%20protecci%C3%B3n_.docx.pdf</t>
  </si>
  <si>
    <t>Incluye Overol resistente antiestático, Botas con punta de acero, Gorra tipo bump cap, Mascarillas de polvo, Gafas de seguridad transparentes y Guantes anticorte [207.219 COP + 34,95 USD y se hace la conversion a la tasa del 10 de junio]</t>
  </si>
  <si>
    <t>Sistema de seguridad (Grabador)</t>
  </si>
  <si>
    <t>https://www.homecenter.com.co/homecenter-co/product/703785/dvr-xvr-dh-xvr1b04-i-4ch-1ch-ip-4-en-1-dahua/703785/</t>
  </si>
  <si>
    <t>Elementos de seguridad de infraestructura</t>
  </si>
  <si>
    <t>https://github.com/natc27/Blue-energy-landing/blob/main/Archivos/PDFs/Links%20_Elementos%20de%20seguridad_.docx.pdf</t>
  </si>
  <si>
    <t>Alarmas de incendio,  extintores  Botiquines y Señalización de seguridad  [593.900 COP + 1.143 USD y se hace la conversion a la tasa del 10 de junio]</t>
  </si>
  <si>
    <t>Consumo mensual: 4.320 kWh/mes                                  Costo promedio: $600 COP/kWh</t>
  </si>
  <si>
    <t>Consumo mensual: 260 m³/mes                                                    Costo promedio: $3.500 COP/m³</t>
  </si>
  <si>
    <t>https://www.enel.com.co/es/personas/tarifas-energia-enel-distribucion.html</t>
  </si>
  <si>
    <t>https://www.acueducto.com.co/wps/portal/EAB2/Home/atencion-al-usuario/tarifas/tarifas_2025</t>
  </si>
  <si>
    <t>Producción deshechos bimestral: 6 Ton                         Costo Bimestral: 140.000COP/0.25 Ton</t>
  </si>
  <si>
    <t>https://ciudadlimpiabogota.com.co/wp-content/uploads/sites/3/2025/06/202505-Tarifas-ASE-_3.pdf</t>
  </si>
  <si>
    <t>Trapero y balde, Jabón de piso, Escoba y Recogedor, Desinfectante, Guantes 2 pares, Jabon de manos, Cepillo de baño y Destapador</t>
  </si>
  <si>
    <t>https://github.com/natc27/Blue-energy-landing/blob/main/Archivos/PDFs/Links%20_Elementos%20de%20aseo_.docx.pdf</t>
  </si>
  <si>
    <t>TOTAL</t>
  </si>
  <si>
    <t>Solo costos mensuales</t>
  </si>
  <si>
    <t>https://www.amazon.es/dp/B01MTFTXIA?tag=rakel1979-21&amp;linkCode=ogi&amp;th=1&amp;keywords=impresoras%2Bde%2Betiquetas%2Bde%2Bc%C3%B3digos%2Bde%2Bbarras</t>
  </si>
  <si>
    <t>Insumos</t>
  </si>
  <si>
    <t>Tornillería del chasis</t>
  </si>
  <si>
    <t>Estructura base de la motocicleta</t>
  </si>
  <si>
    <t>https://es.aliexpress.com/i/1005007894485914.html?gatewayAdapt=glo2esp</t>
  </si>
  <si>
    <t>Caja portabatería</t>
  </si>
  <si>
    <t>Tornillos de fijación</t>
  </si>
  <si>
    <t>Manillar</t>
  </si>
  <si>
    <t>Sistema de frenos (discos, mordazas, pastillas, bomba)</t>
  </si>
  <si>
    <t>Faro delantero</t>
  </si>
  <si>
    <t>Luz trasera</t>
  </si>
  <si>
    <t>Direccionales</t>
  </si>
  <si>
    <t>Arnés de cables</t>
  </si>
  <si>
    <t>Asiento</t>
  </si>
  <si>
    <t>Carcazas laterales y frontales</t>
  </si>
  <si>
    <t>Tapas de motor y batería</t>
  </si>
  <si>
    <t>Adhesivos y logotipos</t>
  </si>
  <si>
    <t>Lámina metálica del porta placas</t>
  </si>
  <si>
    <t>https://www.amazon.es/BETCKEY-continua-compatible-etiquetas-impresoras/dp/B01LY9NLV9/ref=pd_bxgy_thbs_d_sccl_1/262-5948407-6323447?pd_rd_w=Z3oAQ&amp;content-id=amzn1.sym.405db3c0-9e6f-4f50-be40-f31f80e99fd8&amp;pf_rd_p=405db3c0-9e6f-4f50-be40-f31f80e99fd8&amp;pf_rd_r=BT83TQ5Y2NQ4HVYC9D9C&amp;pd_rd_wg=inIBP&amp;pd_rd_r=2576b8d5-bc3d-4473-bd21-8f35e0961f96&amp;pd_rd_i=B01LY9NLV9&amp;th=1</t>
  </si>
  <si>
    <t>Precio por moto</t>
  </si>
  <si>
    <t>https://www.amazon.com/-/es/Kit-motocicleta-tornillos-parabrisas-arandelas/dp/B0BQ6TRZ2N/ref=sr_1_3?adgrpid=157810793918&amp;dib=eyJ2IjoiMSJ9.D7OBgeY5eFj28nTm2DMB3kmAeLYCcFtycS2LF3yKk96nZh_om5PS5O25QxTeQBjMlPY_nlWjs8zBVbF7X9Fb6ZmHgeR97BWof-hMkMeikXD943uAWtkrzMKep6Uwe5VJd0H4__BMoP1isb9XyZ_89Wfymn246qreaJ3G8bRKDVPLgqZu-nl7klCx92w0GBU93gedBVvo7yBZdL5wO94N51uQm-t4DOYXn2kXumNt6bI._rXalxD6WYXlx6BivZqk4uqNg2ul9AgUHVULZmq1who&amp;dib_tag=se&amp;hvadid=685215374043&amp;hvdev=c&amp;hvlocphy=9197987&amp;hvnetw=g&amp;hvqmt=e&amp;hvrand=14442545053588295411&amp;hvtargid=kwd-304426402968&amp;hydadcr=524_1015032522&amp;keywords=tornillos%2Bpara%2Bmoto&amp;mcid=5f594a0f8b673b149f5f1516c71ffb43&amp;qid=1752365493&amp;sr=8-3&amp;th=1</t>
  </si>
  <si>
    <t xml:space="preserve">Stickers </t>
  </si>
  <si>
    <t>https://www.alibaba.com/product-detail/YMMOTOR-14inch-3000w-260-V2-Electric_1600928266537.html?spm=a2700.details.you_may_like.1.4f8d1f8dJldQHE</t>
  </si>
  <si>
    <t>https://es.aliexpress.com/item/1005006456151674.html?src=google&amp;pdp_npi=4%40dis!COP!2485246.66!2165271.36!!!!!%40!12000037265443032!ppc!!!&amp;src=google&amp;albch=shopping&amp;acnt=615-992-9880&amp;isdl=y&amp;slnk=&amp;plac=&amp;mtctp=&amp;albbt=Google_7_shopping&amp;aff_platform=google&amp;aff_short_key=_oFgTQeV&amp;gclsrc=aw.ds&amp;&amp;albagn=888888&amp;&amp;ds_e_adid=&amp;ds_e_matchtype=&amp;ds_e_device=c&amp;ds_e_network=x&amp;ds_e_product_group_id=&amp;ds_e_product_id=es1005006456151674&amp;ds_e_product_merchant_id=106616752&amp;ds_e_product_country=CO&amp;ds_e_product_language=es&amp;ds_e_product_channel=online&amp;ds_e_product_store_id=&amp;ds_url_v=2&amp;albcp=22486112365&amp;albag=&amp;isSmbAutoCall=false&amp;needSmbHouyi=false&amp;gad_source=1&amp;gad_campaignid=22486182460&amp;gbraid=0AAAAA_TvRHp0Zt3gHRqbqMuGlQsR5fVjw&amp;gclid=Cj0KCQjwj8jDBhD1ARIsACRV2TtW-CliBqTSmu_EhWqNhtJKTZW8w8hMPxiwU6i-r9hbT3l3fmKUO3QaAoCpEALw_wcB</t>
  </si>
  <si>
    <t>40 USD (10 rollos, cáda rollo alcanza para unas 100 motos), y se hace la conversion a la tasa del 8 de junio</t>
  </si>
  <si>
    <t>168,99 USD y se hace la conversion a la tasa del 8 de junio. Para la moto de mayo potencia, se usa motor 2, con precio de 2.485.246 COP</t>
  </si>
  <si>
    <t>https://beelectric.co/product/bateria-litio-48v-20ah/</t>
  </si>
  <si>
    <t>https://www.amazon.com/-/es/el%C3%A9ctrico-motocicleta-el%C3%A9ctrica-almacenamiento-impermeable/dp/B0D1NG8Z78</t>
  </si>
  <si>
    <t>Llantas</t>
  </si>
  <si>
    <t>Rines</t>
  </si>
  <si>
    <t>https://www.alkosto.com/llanta-moto-dunlop-gt601-130-70-17-tl-trasera/p/7707235453689</t>
  </si>
  <si>
    <t>https://articulo.mercadolibre.com.co/MCO-603978543-rin-delantero-para-susuki-gn-125-_JM#polycard_client=search-nordic&amp;position=28&amp;search_layout=stack&amp;type=item&amp;tracking_id=15a52d9b-f64e-4aad-92d1-c0bf2949fde7&amp;wid=MCO603978543&amp;sid=search</t>
  </si>
  <si>
    <t>https://www.ebay.com/itm/235739789900?itmmeta=01K00MCWVTVVVRVN761CRJ74SS&amp;hash=item36e32fba4c:g:RB0AAOSwyYlYm62o&amp;itmprp=enc%3AAQAKAAAA4MHg7L1Zz0LA5DYYmRTS30mZ10ACF28iXbXFvega4h6MBGKTuxawjoE2DiPQ%2BWtSfrOFip9N%2Fvy4tmrfIKxZxypBq5SkDtnIN5zlHb2YWFOXrT48gWxzCaiNy9c1RjkuV2JGFScKVXshresfvPlCfMfrlbCALNH79DkcRfJ3RMZ0ugyw3N4tMuA53opX3R5JTZzN7s%2B7JFo2FgYW6G6KGA7xGl04%2FGLCEWEKM0Vr7eD1BJlkRaV5xl%2FF7phECYaQ1V4LlpkZ7WnjD9fTInXlIPwmGh09PcmVL%2BgcGOiWQ0XA%7Ctkp%3ABFBMhM6zlIBm</t>
  </si>
  <si>
    <t>559,04 USD  se hace la conversion a la tasa del 8 de junio</t>
  </si>
  <si>
    <t>Precio de 2 rines</t>
  </si>
  <si>
    <t>Precio de 2 llantas</t>
  </si>
  <si>
    <t>https://www.auteco.com.co/sistema-de-freno-del-tras-completo/p</t>
  </si>
  <si>
    <t>https://articulo.mercadolibre.com.co/MCO-1560643879-cojin-silla-moto-akt-ttr-150-200-ttds-200-rally-forro-viaje-_JM?searchVariation=183215748284#is_advertising=true&amp;searchVariation=183215748284&amp;backend_model=search-backend&amp;position=2&amp;search_layout=stack&amp;type=pad&amp;tracking_id=da8c5af3-f911-4305-88a8-954141b67971&amp;is_advertising=true&amp;ad_domain=VQCATCORE_LST&amp;ad_position=2&amp;ad_click_id=N2E0N2MzZTgtYzI0Zi00NDdkLWIzZTMtMTE3YWI5NmIxZDhk</t>
  </si>
  <si>
    <t>https://articulo.mercadolibre.com.co/MCO-2370704922-kit-plastico-xtz-150-tapas-tanque-guardabarro-carenaje-calca-_JM?searchVariation=186604642937#polycard_client=search-nordic&amp;searchVariation=186604642937&amp;position=14&amp;search_layout=stack&amp;type=item&amp;tracking_id=36ee0396-cd4a-4d09-9406-e0fef2183bc5</t>
  </si>
  <si>
    <t>https://articulo.mercadolibre.com.co/MCO-1447226855-yamaha-calcomanias-stickers-adhesivo-kit-x-14-unidades-_JM?searchVariation=183493421507#polycard_client=search-nordic&amp;searchVariation=183493421507&amp;position=19&amp;search_layout=stack&amp;type=item&amp;tracking_id=6f182d53-0d8d-49d1-8015-54eac309c1e6</t>
  </si>
  <si>
    <t>https://articulo.mercadolibre.com.co/MCO-1941517830-porta-placa-suzuki-en-acero-inoxidable-logo-en-3d-_JM?searchVariation=180158299131#polycard_client=search-nordic&amp;searchVariation=180158299131&amp;position=30&amp;search_layout=stack&amp;type=item&amp;tracking_id=bbcac9d0-b289-4103-abec-a8ad88055442</t>
  </si>
  <si>
    <t>https://articulo.mercadolibre.com.co/MCO-2880788858-tapa-de-bateria-lateral-para-motocicleta-aluminio-fundido-a-_JM#polycard_client=search-nordic&amp;position=18&amp;search_layout=stack&amp;type=item&amp;tracking_id=0ca75645-4f85-4c5d-b35e-01f0e1b7430b</t>
  </si>
  <si>
    <t>https://www.mercadolibre.com.co/direccional-x4-und-led-yamaha-xtz250-xtz150-mt15-fz16/p/MCO2005426227?pdp_filters=SHIPPING_ORIGIN%3A10215069#polycard_client=search-nordic&amp;searchVariation=MCO2005426227&amp;position=15&amp;search_layout=stack&amp;type=product&amp;tracking_id=9fc591e5-db20-4e3a-bb88-255eb28226bd&amp;wid=MCO1506880281&amp;sid=search</t>
  </si>
  <si>
    <t>https://articulo.mercadolibre.com.co/MCO-2838630632-farola-delantera-completa-para-bajaj-pulsar-ns200-negro-mtc-_JM#polycard_client=recommendations_pdp-pads-up&amp;reco_backend=pdp_pads_up_merge_rankent_v3_retsys&amp;reco_client=pdp-pads-up&amp;reco_item_pos=0&amp;reco_backend_type=low_level&amp;reco_id=2bbab80c-cdb2-41e2-a47c-39354ae6858d&amp;wid=MCO2838630632&amp;sid=recos&amp;is_advertising=true&amp;ad_domain=PDPDESKTOP_UP&amp;ad_position=1&amp;ad_click_id=YmZmZTMxZmEtNzAzOC00ZTExLWJiMWEtNDk5NmUzZjg1ODNk</t>
  </si>
  <si>
    <t>https://articulo.mercadolibre.com.co/MCO-1013537730-stop-trasero-pulsar-ns-200150-as200-tipo-original-_JM?searchVariation=175562318431#polycard_client=search-nordic&amp;searchVariation=175562318431&amp;backend_model=search-backend&amp;position=5&amp;search_layout=stack&amp;type=item&amp;tracking_id=c912b5b8-a2ca-46fe-8112-cf1167cdb6c9</t>
  </si>
  <si>
    <t>https://www.ebay.com/itm/195302438692?chn=ps&amp;mkevt=1&amp;mkcid=28&amp;google_free_listing_action=view_item</t>
  </si>
  <si>
    <t>17 USD, se hace la conversion a la tasa del 8 de junio</t>
  </si>
  <si>
    <t>https://ryderzone.com/es/products/2012-2016-honda-cbr1000rr-bolts-set-nuts-washers-misc-hardware-screws-hose-oem?srsltid=AfmBOoo6sGL-5GsRc8Ldc_XLKUyD1-5ePfS9ALIQgCev1DECfDN4Xsfw3D</t>
  </si>
  <si>
    <t>30 USD , se hace la conversion a la tasa del 8 de junio</t>
  </si>
  <si>
    <t>Amortiguadores traseros</t>
  </si>
  <si>
    <t>https://articulo.mercadolibre.com.co/MCO-541538773-monoshock-amortiguador-para-pulsar-ns-200-endurance-original-_JM#polycard_client=search-nordic&amp;position=23&amp;search_layout=stack&amp;type=item&amp;tracking_id=93d6742d-ceaa-4f83-a9ae-17e1bac6def9&amp;wid=MCO541538773&amp;sid=search</t>
  </si>
  <si>
    <t>https://motomellos.com/producto/manubrio-strong-pulsar-ns-200-holograma/</t>
  </si>
  <si>
    <t>Horquilla de suspensión delantera</t>
  </si>
  <si>
    <t>https://www.garageonline.cl/telescopicas-/2425-telescopica-completa-pulsar-ns-200-fi-abs-rs-200-bajaj-genuina.html</t>
  </si>
  <si>
    <t>195.000 CLP, se hace la conversion a la tasa del 8 de junio</t>
  </si>
  <si>
    <t>Scanner de códigos QR</t>
  </si>
  <si>
    <t>https://www.amazon.com/Eyoyo-actualizado-inal%C3%A1mbrico-Inventario-compatible/dp/B09GLXVD5D?shipTo=CO&amp;source=ps-sl-shoppingads-lpcontext&amp;ref_=fplfs&amp;smid=A1UYJA9LD7FIS5&amp;language=es_US&amp;th=1</t>
  </si>
  <si>
    <t>55,99 USD, se hace la conversión a la tasa del 10 de junio</t>
  </si>
  <si>
    <t>MOTOR 2</t>
  </si>
  <si>
    <t>Cantidad de empleados</t>
  </si>
  <si>
    <t>Horas diarias</t>
  </si>
  <si>
    <t>Dias que trabaja</t>
  </si>
  <si>
    <t>Sueldo Básico</t>
  </si>
  <si>
    <t>Auxilio de transporte</t>
  </si>
  <si>
    <t>Salud</t>
  </si>
  <si>
    <t>Pensión</t>
  </si>
  <si>
    <t>Fondo solidaridad</t>
  </si>
  <si>
    <t>Pago hora</t>
  </si>
  <si>
    <t>Diurnas</t>
  </si>
  <si>
    <t>Nocturnas</t>
  </si>
  <si>
    <t>Diurnas dominicales</t>
  </si>
  <si>
    <t>Nocturans dominicales</t>
  </si>
  <si>
    <t>Total neto</t>
  </si>
  <si>
    <t>Total nomina</t>
  </si>
  <si>
    <t>Total auxilio</t>
  </si>
  <si>
    <t>Pension</t>
  </si>
  <si>
    <t>ARL</t>
  </si>
  <si>
    <t>Cesantias</t>
  </si>
  <si>
    <t>Intereses a cesantias</t>
  </si>
  <si>
    <t>Prima</t>
  </si>
  <si>
    <t>Vacaciones</t>
  </si>
  <si>
    <t>ICBF</t>
  </si>
  <si>
    <t>SENA</t>
  </si>
  <si>
    <t>Caja de Compensación</t>
  </si>
  <si>
    <t xml:space="preserve">Total pago de nomina </t>
  </si>
  <si>
    <t>TOTAL COSTO EMPLEADOS AL MES</t>
  </si>
  <si>
    <t>Ingenieros</t>
  </si>
  <si>
    <t>Técnicos</t>
  </si>
  <si>
    <t>Operadores</t>
  </si>
  <si>
    <t>Total Insumos fabricación una moto</t>
  </si>
  <si>
    <t>Precio de venta</t>
  </si>
  <si>
    <t>Costo insumos</t>
  </si>
  <si>
    <t>Por unidad</t>
  </si>
  <si>
    <t>Mes</t>
  </si>
  <si>
    <t>U fabricadas</t>
  </si>
  <si>
    <t>Costo</t>
  </si>
  <si>
    <t>U vendidas</t>
  </si>
  <si>
    <t>Solo costos iniciales</t>
  </si>
  <si>
    <t>Ingresos</t>
  </si>
  <si>
    <t>Gastos</t>
  </si>
  <si>
    <t>Costos</t>
  </si>
  <si>
    <t>Total Egresos</t>
  </si>
  <si>
    <t>Neto</t>
  </si>
  <si>
    <t>Nómina</t>
  </si>
  <si>
    <t>Cerraduras electromecánicas con sensores de posición.</t>
  </si>
  <si>
    <t>Relés de seguridad</t>
  </si>
  <si>
    <t xml:space="preserve">Controladores con funciones “safe move” </t>
  </si>
  <si>
    <t>Deadman Switch</t>
  </si>
  <si>
    <t>Torres de señal (andon)</t>
  </si>
  <si>
    <t>Mallas metálicas .</t>
  </si>
  <si>
    <t>https://www.homecenter.com.co/homecenter-co/product/768973/malla-eslabonada-de-200-x-100-m-en-metal-galvanizado-de-225mm-de-21-4x21-4-huecos-por-pulgada-colmallas/768973/</t>
  </si>
  <si>
    <t>https://www.amazon.com/Sistema-Kit-cerradura-magn%C3%A9tica-el%C3%A9ctrica/dp/B0CW9NRSTP/ref=asc_df_B0CW9NRSTP?language=es_US&amp;mcid=f0d43fac866e3161bc580bfff0eafce5&amp;tag=cogoshpadde-20&amp;linkCode=df0&amp;hvadid=720379347033&amp;hvpos=&amp;hvnetw=g&amp;hvrand=1131601307736899077&amp;hvpone=&amp;hvptwo=&amp;hvqmt=&amp;hvdev=c&amp;hvdvcmdl=&amp;hvlocint=&amp;hvlocphy=9197987&amp;hvtargid=pla-2317631010624&amp;th=1</t>
  </si>
  <si>
    <t>Sensores ultrasonido</t>
  </si>
  <si>
    <t>https://www.ebay.com/itm/405187838880?chn=ps&amp;mkevt=1&amp;mkcid=28&amp;google_free_listing_action=view_item</t>
  </si>
  <si>
    <t>100 USD, se hace la conversión a la tasa del 10 de junio</t>
  </si>
  <si>
    <t>300 USD, se hace la conversión a la tasa del 10 de junio (Kit de 4 sensores)</t>
  </si>
  <si>
    <t>Enclavamiento para cuerdas de emergencia.</t>
  </si>
  <si>
    <t>Cuerda de emergencia</t>
  </si>
  <si>
    <t>https://www.cedicol.com.co/producto/cuerda-semiestatica-13mm-x-metro-sosega/?srsltid=AfmBOooXDjREH-DsXTBE2avOr3VD0QzqGCn4_t3-wy0qBx47nrTQog3T</t>
  </si>
  <si>
    <t>50 mts de cuerda</t>
  </si>
  <si>
    <t>https://tienda.eimpsa.com/producto/enclavamiento-xy2cjs15-emergencia-preventa-telemecanique/</t>
  </si>
  <si>
    <t>https://www.mercadolibre.com.co/columna-de-advertencia-industrial-andon-led-signal-tower-sta/p/MCO2020036725</t>
  </si>
  <si>
    <t>https://interelectricas.com.co/maniobra-e-industria/8301-sentry-bsr10-rele-de-seguridad-ref-2tla010040r0000-i2.html?gStoreCode=4067922858646998419</t>
  </si>
  <si>
    <t>1700 USD, se hace la conversión a la tasa del 10 de junio</t>
  </si>
  <si>
    <t>https://www.ebay.com/itm/192611398504</t>
  </si>
  <si>
    <t>https://www.airportcomponents.com/en/product/deadman-con-cable-14m/</t>
  </si>
  <si>
    <t>336 EUR,  se hace la conversión a la tasa del 10 de junio</t>
  </si>
  <si>
    <t>Año</t>
  </si>
  <si>
    <t>Ingreso</t>
  </si>
  <si>
    <t>Egreso</t>
  </si>
  <si>
    <t>Impuesto</t>
  </si>
  <si>
    <t>Neto-Impuesto</t>
  </si>
  <si>
    <t>Reserva</t>
  </si>
  <si>
    <t>Neto Total</t>
  </si>
  <si>
    <t>V actual total</t>
  </si>
  <si>
    <t>V anual</t>
  </si>
  <si>
    <t>V futuro total</t>
  </si>
  <si>
    <t>Valor Mensual</t>
  </si>
  <si>
    <t>Valor futuro</t>
  </si>
  <si>
    <t>Activos</t>
  </si>
  <si>
    <t>Pasivos</t>
  </si>
  <si>
    <t>Caja</t>
  </si>
  <si>
    <t>Sobregiro</t>
  </si>
  <si>
    <t>Bodega</t>
  </si>
  <si>
    <t>O. Bancarias</t>
  </si>
  <si>
    <t>D. Cobrar</t>
  </si>
  <si>
    <t>D. pagar</t>
  </si>
  <si>
    <t>Patrimonio</t>
  </si>
  <si>
    <t>Para vender</t>
  </si>
  <si>
    <t>Vendida</t>
  </si>
  <si>
    <t>Para armar</t>
  </si>
  <si>
    <t>Año 1</t>
  </si>
  <si>
    <t>Año 2</t>
  </si>
  <si>
    <t>Año 3</t>
  </si>
  <si>
    <t>Bodega año 1</t>
  </si>
  <si>
    <t>Bodega año 2</t>
  </si>
  <si>
    <t>Bodega año 3</t>
  </si>
  <si>
    <t>Bodega año 4</t>
  </si>
  <si>
    <t>Bodega año 5</t>
  </si>
  <si>
    <t>Año 4</t>
  </si>
  <si>
    <t>Año 5</t>
  </si>
  <si>
    <t>Proporción Costo</t>
  </si>
  <si>
    <t>TIR</t>
  </si>
  <si>
    <t>Unidades deseadas</t>
  </si>
  <si>
    <t>Unidades producidas</t>
  </si>
  <si>
    <t>Perdidas</t>
  </si>
  <si>
    <t>Tasa mensual</t>
  </si>
  <si>
    <t xml:space="preserve">Valor Actual </t>
  </si>
  <si>
    <t>Flujo</t>
  </si>
  <si>
    <t>Elementos de seguridad celda robotizada</t>
  </si>
  <si>
    <t>Perdidas/mes año 1</t>
  </si>
  <si>
    <t>Perdidas/mes año 2</t>
  </si>
  <si>
    <t>Perdidas/mes año 3</t>
  </si>
  <si>
    <t>Perdidas/mes año 4</t>
  </si>
  <si>
    <t>Perdidas/mes año 5</t>
  </si>
  <si>
    <t>Elemento/Función Sistema/Proceso</t>
  </si>
  <si>
    <t>Modo en que ocurre la falla</t>
  </si>
  <si>
    <t>Causa de la falla</t>
  </si>
  <si>
    <t>Efecto producido</t>
  </si>
  <si>
    <t>Severidad</t>
  </si>
  <si>
    <t>Detección</t>
  </si>
  <si>
    <t>Ocurrencia</t>
  </si>
  <si>
    <t>Acciones</t>
  </si>
  <si>
    <t>Sistema de batería</t>
  </si>
  <si>
    <t>No entrega energía</t>
  </si>
  <si>
    <t>Batería defectuosa o mal conectada</t>
  </si>
  <si>
    <t>No se puede probar la motocicleta</t>
  </si>
  <si>
    <t>Verificar conexión. Sustituir batería.</t>
  </si>
  <si>
    <t>Motor eléctrico</t>
  </si>
  <si>
    <t>No gira</t>
  </si>
  <si>
    <t>Fallo del motor o del controlador</t>
  </si>
  <si>
    <t>Ensamblaje no validado</t>
  </si>
  <si>
    <t>Revisión del controlador. Testeo del motor.</t>
  </si>
  <si>
    <t>Sistema de frenos</t>
  </si>
  <si>
    <t>No responde</t>
  </si>
  <si>
    <t>Mal ajuste o fuga de líquido</t>
  </si>
  <si>
    <t>Riesgo de accidente en pruebas</t>
  </si>
  <si>
    <t>Revisión doble. Manuales de torque y pruebas hidráulicas.</t>
  </si>
  <si>
    <t>Cableado general</t>
  </si>
  <si>
    <t>Cortocircuito / no conexión</t>
  </si>
  <si>
    <t>Instalación incorrecta o material defectuoso</t>
  </si>
  <si>
    <t>Fallo eléctrico crítico</t>
  </si>
  <si>
    <t>Control de calidad visual y eléctrico. Capacitación.</t>
  </si>
  <si>
    <t>Control de calidad final</t>
  </si>
  <si>
    <t>No detecta fallas</t>
  </si>
  <si>
    <t>Falta de protocolo o supervisión inadecuada</t>
  </si>
  <si>
    <t>Producto con defecto al cliente</t>
  </si>
  <si>
    <t>Checklist, doble revisión, KPI de fallos por lote.</t>
  </si>
  <si>
    <t>Suministro de partes</t>
  </si>
  <si>
    <t>Demoras / errores</t>
  </si>
  <si>
    <t>Fallo logístico o incumplimiento proveedor</t>
  </si>
  <si>
    <t>Paro de producción</t>
  </si>
  <si>
    <t>Gestión proveedores. Almacenamiento mínimo garantizado.</t>
  </si>
  <si>
    <t>Alineación del chasis</t>
  </si>
  <si>
    <t>Mal ensamblado</t>
  </si>
  <si>
    <t>Error humano / falta de plantilla</t>
  </si>
  <si>
    <t>Inestabilidad / vibraciones</t>
  </si>
  <si>
    <t>Plantillas de guía. Revisión cruzada.</t>
  </si>
  <si>
    <t>Software de diagnóstico</t>
  </si>
  <si>
    <t>No detecta módulos</t>
  </si>
  <si>
    <t>Instalación incorrecta / versión errada</t>
  </si>
  <si>
    <t>Fallo en validación de electrónica</t>
  </si>
  <si>
    <t>Procedimiento estandarizado. Verificación post-instalación.</t>
  </si>
  <si>
    <t>Sistema de luces</t>
  </si>
  <si>
    <t>No funcionan o parpadean</t>
  </si>
  <si>
    <t>Error en el arnés o conexión floja</t>
  </si>
  <si>
    <t>No cumple normas de tránsito</t>
  </si>
  <si>
    <t>Prueba funcional. Control eléctrico final.</t>
  </si>
  <si>
    <t>Montaje de suspensión</t>
  </si>
  <si>
    <t>Posición incorrecta o sin torque adecuado</t>
  </si>
  <si>
    <t>Desconocimiento del operario</t>
  </si>
  <si>
    <t>Riesgo de daño estructural y vibraciones</t>
  </si>
  <si>
    <t>Protocolo de torque. Supervisión de montaje.</t>
  </si>
  <si>
    <t>Configuración de velocímetro</t>
  </si>
  <si>
    <t>Marca velocidad errónea</t>
  </si>
  <si>
    <t>Mal calibrado o conexión fallida</t>
  </si>
  <si>
    <t>Riesgo en validación o uso del vehículo</t>
  </si>
  <si>
    <t>Verificación electrónica en banco de pruebas.</t>
  </si>
  <si>
    <t>Instalación del controlador de velocidad</t>
  </si>
  <si>
    <t>No se comunica con el motor</t>
  </si>
  <si>
    <t>Conectores mal puestos o controlador inadecuado</t>
  </si>
  <si>
    <t>No arranca la motocicleta</t>
  </si>
  <si>
    <t>Control de versiones y pruebas de comunicación.</t>
  </si>
  <si>
    <t>Gestión de residuos</t>
  </si>
  <si>
    <t>Acumulación o mal manejo</t>
  </si>
  <si>
    <t>Descoordinación / falta de rutina</t>
  </si>
  <si>
    <t>Multas o riesgos ambientales</t>
  </si>
  <si>
    <t>Procedimientos claros. Recolección programada.</t>
  </si>
  <si>
    <t>Errores en ensamblaje de batería</t>
  </si>
  <si>
    <t>Polaridad invertida</t>
  </si>
  <si>
    <t>Desconocimiento técnico o error</t>
  </si>
  <si>
    <t>Daño irreversible del sistema</t>
  </si>
  <si>
    <t>Señalización clara. Protocolo visual obligatorio.</t>
  </si>
  <si>
    <t>Empaque final y despacho</t>
  </si>
  <si>
    <t>Producto dañado o incompleto</t>
  </si>
  <si>
    <t>Revisión superficial o embalaje débil</t>
  </si>
  <si>
    <t>Pérdida económica / reclamos de clientes</t>
  </si>
  <si>
    <t>Inspección final. Manual de empaque. Bitácora de despacho.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</si>
</sst>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&quot;$&quot;\ #,##0.00;[Red]\-&quot;$&quot;\ #,##0.00"/>
    <numFmt numFmtId="44" formatCode="_-&quot;$&quot;\ * #,##0.00_-;\-&quot;$&quot;\ * #,##0.00_-;_-&quot;$&quot;\ * &quot;-&quot;??_-;_-@_-"/>
    <numFmt numFmtId="164" formatCode="&quot;$&quot;#,##0.00"/>
  </numFmts>
  <fonts count="11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8" fontId="0" fillId="0" borderId="1" xfId="0" applyNumberFormat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8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1" xfId="0" applyBorder="1"/>
    <xf numFmtId="44" fontId="0" fillId="0" borderId="1" xfId="3" applyFont="1" applyBorder="1"/>
    <xf numFmtId="44" fontId="0" fillId="0" borderId="1" xfId="3" applyFont="1" applyBorder="1" applyAlignment="1">
      <alignment horizontal="left" vertical="center"/>
    </xf>
    <xf numFmtId="44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3" fontId="2" fillId="0" borderId="1" xfId="1" applyNumberFormat="1" applyBorder="1" applyAlignment="1">
      <alignment horizontal="left" vertical="top" wrapText="1"/>
    </xf>
    <xf numFmtId="44" fontId="0" fillId="0" borderId="1" xfId="0" applyNumberFormat="1" applyBorder="1"/>
    <xf numFmtId="8" fontId="0" fillId="0" borderId="1" xfId="0" applyNumberFormat="1" applyBorder="1"/>
    <xf numFmtId="0" fontId="7" fillId="2" borderId="1" xfId="0" applyFont="1" applyFill="1" applyBorder="1" applyAlignment="1">
      <alignment vertical="center" wrapText="1"/>
    </xf>
    <xf numFmtId="44" fontId="7" fillId="2" borderId="1" xfId="0" applyNumberFormat="1" applyFont="1" applyFill="1" applyBorder="1" applyAlignment="1">
      <alignment vertical="center"/>
    </xf>
    <xf numFmtId="8" fontId="0" fillId="0" borderId="1" xfId="0" applyNumberFormat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9" fontId="0" fillId="0" borderId="0" xfId="0" applyNumberFormat="1"/>
    <xf numFmtId="10" fontId="8" fillId="0" borderId="0" xfId="0" applyNumberFormat="1" applyFont="1" applyAlignment="1">
      <alignment horizontal="center"/>
    </xf>
    <xf numFmtId="164" fontId="1" fillId="0" borderId="3" xfId="0" applyNumberFormat="1" applyFont="1" applyBorder="1"/>
    <xf numFmtId="0" fontId="9" fillId="0" borderId="5" xfId="0" applyFont="1" applyBorder="1"/>
    <xf numFmtId="0" fontId="0" fillId="0" borderId="6" xfId="0" applyBorder="1"/>
    <xf numFmtId="0" fontId="9" fillId="0" borderId="6" xfId="0" applyFont="1" applyBorder="1"/>
    <xf numFmtId="0" fontId="0" fillId="0" borderId="7" xfId="0" applyBorder="1"/>
    <xf numFmtId="0" fontId="1" fillId="0" borderId="8" xfId="0" applyFont="1" applyBorder="1"/>
    <xf numFmtId="164" fontId="1" fillId="0" borderId="0" xfId="0" applyNumberFormat="1" applyFont="1"/>
    <xf numFmtId="0" fontId="1" fillId="0" borderId="0" xfId="0" applyFont="1"/>
    <xf numFmtId="164" fontId="1" fillId="0" borderId="9" xfId="0" applyNumberFormat="1" applyFont="1" applyBorder="1"/>
    <xf numFmtId="164" fontId="1" fillId="0" borderId="10" xfId="0" applyNumberFormat="1" applyFont="1" applyBorder="1"/>
    <xf numFmtId="0" fontId="0" fillId="0" borderId="8" xfId="0" applyBorder="1"/>
    <xf numFmtId="0" fontId="0" fillId="0" borderId="9" xfId="0" applyBorder="1"/>
    <xf numFmtId="0" fontId="9" fillId="0" borderId="0" xfId="0" applyFont="1"/>
    <xf numFmtId="0" fontId="0" fillId="0" borderId="11" xfId="0" applyBorder="1"/>
    <xf numFmtId="0" fontId="0" fillId="0" borderId="12" xfId="0" applyBorder="1"/>
    <xf numFmtId="0" fontId="1" fillId="0" borderId="12" xfId="0" applyFont="1" applyBorder="1"/>
    <xf numFmtId="164" fontId="1" fillId="0" borderId="13" xfId="0" applyNumberFormat="1" applyFont="1" applyBorder="1"/>
    <xf numFmtId="0" fontId="0" fillId="0" borderId="17" xfId="0" applyBorder="1" applyAlignment="1">
      <alignment horizontal="center" vertical="center"/>
    </xf>
    <xf numFmtId="44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4" fontId="0" fillId="0" borderId="20" xfId="0" applyNumberFormat="1" applyBorder="1" applyAlignment="1">
      <alignment horizontal="center" vertical="center"/>
    </xf>
    <xf numFmtId="44" fontId="0" fillId="0" borderId="21" xfId="0" applyNumberFormat="1" applyBorder="1" applyAlignment="1">
      <alignment horizontal="center" vertical="center"/>
    </xf>
    <xf numFmtId="44" fontId="0" fillId="0" borderId="22" xfId="0" applyNumberFormat="1" applyBorder="1" applyAlignment="1">
      <alignment horizontal="center" vertical="center"/>
    </xf>
    <xf numFmtId="44" fontId="0" fillId="0" borderId="27" xfId="0" applyNumberFormat="1" applyBorder="1"/>
    <xf numFmtId="44" fontId="0" fillId="0" borderId="28" xfId="0" applyNumberFormat="1" applyBorder="1"/>
    <xf numFmtId="0" fontId="0" fillId="0" borderId="14" xfId="0" applyBorder="1"/>
    <xf numFmtId="44" fontId="0" fillId="0" borderId="16" xfId="0" applyNumberFormat="1" applyBorder="1"/>
    <xf numFmtId="44" fontId="0" fillId="0" borderId="18" xfId="0" applyNumberFormat="1" applyBorder="1"/>
    <xf numFmtId="44" fontId="0" fillId="0" borderId="21" xfId="0" applyNumberFormat="1" applyBorder="1"/>
    <xf numFmtId="44" fontId="0" fillId="0" borderId="29" xfId="0" applyNumberFormat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4" fontId="0" fillId="0" borderId="15" xfId="0" applyNumberFormat="1" applyBorder="1" applyAlignment="1">
      <alignment horizontal="center" vertical="center"/>
    </xf>
    <xf numFmtId="44" fontId="0" fillId="0" borderId="15" xfId="3" applyFont="1" applyBorder="1" applyAlignment="1">
      <alignment horizontal="center" vertical="center"/>
    </xf>
    <xf numFmtId="44" fontId="0" fillId="0" borderId="16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8" fontId="0" fillId="0" borderId="20" xfId="0" applyNumberForma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8" xfId="0" applyBorder="1"/>
    <xf numFmtId="44" fontId="0" fillId="0" borderId="20" xfId="0" applyNumberFormat="1" applyBorder="1"/>
    <xf numFmtId="9" fontId="0" fillId="0" borderId="1" xfId="4" applyFont="1" applyBorder="1" applyAlignment="1">
      <alignment horizontal="center" vertical="center"/>
    </xf>
    <xf numFmtId="0" fontId="0" fillId="0" borderId="20" xfId="0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36" xfId="0" applyBorder="1"/>
    <xf numFmtId="0" fontId="0" fillId="0" borderId="33" xfId="0" applyBorder="1"/>
    <xf numFmtId="44" fontId="0" fillId="0" borderId="34" xfId="0" applyNumberFormat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0" borderId="34" xfId="0" applyBorder="1"/>
    <xf numFmtId="44" fontId="0" fillId="0" borderId="33" xfId="0" applyNumberFormat="1" applyBorder="1"/>
    <xf numFmtId="0" fontId="0" fillId="0" borderId="29" xfId="0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0" fillId="3" borderId="14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30" xfId="0" applyFill="1" applyBorder="1"/>
    <xf numFmtId="9" fontId="0" fillId="0" borderId="32" xfId="0" applyNumberFormat="1" applyBorder="1"/>
    <xf numFmtId="0" fontId="0" fillId="0" borderId="38" xfId="0" applyBorder="1"/>
    <xf numFmtId="8" fontId="0" fillId="0" borderId="15" xfId="0" applyNumberFormat="1" applyBorder="1" applyAlignment="1">
      <alignment horizontal="center" vertical="center"/>
    </xf>
    <xf numFmtId="44" fontId="0" fillId="0" borderId="17" xfId="0" applyNumberFormat="1" applyBorder="1" applyAlignment="1">
      <alignment horizontal="center" vertical="center"/>
    </xf>
    <xf numFmtId="44" fontId="0" fillId="0" borderId="19" xfId="0" applyNumberFormat="1" applyBorder="1" applyAlignment="1">
      <alignment horizontal="center" vertical="center"/>
    </xf>
    <xf numFmtId="44" fontId="0" fillId="0" borderId="39" xfId="0" applyNumberForma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/>
    </xf>
    <xf numFmtId="0" fontId="0" fillId="0" borderId="35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</cellXfs>
  <cellStyles count="5">
    <cellStyle name="Hipervínculo" xfId="1" builtinId="8"/>
    <cellStyle name="Moneda" xfId="3" builtinId="4"/>
    <cellStyle name="Normal" xfId="0" builtinId="0"/>
    <cellStyle name="Normal 2" xfId="2" xr:uid="{AD04A7E0-DE1A-459E-A8EA-CDC96A2BE83C}"/>
    <cellStyle name="Porcentaje" xfId="4" builtinId="5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Hoja 1-style" pivot="0" count="3" xr9:uid="{6F815397-3A01-4445-9A2E-B04793FB3A92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Flujo neto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>
        <c:manualLayout>
          <c:layoutTarget val="inner"/>
          <c:xMode val="edge"/>
          <c:yMode val="edge"/>
          <c:x val="0.12337704535338956"/>
          <c:y val="0.10185094185094186"/>
          <c:w val="0.8541026710057763"/>
          <c:h val="0.842457002457002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General!$I$2:$I$62</c:f>
              <c:numCache>
                <c:formatCode>_("$"* #,##0.00_);_("$"* \(#,##0.00\);_("$"* "-"??_);_(@_)</c:formatCode>
                <c:ptCount val="61"/>
                <c:pt idx="0">
                  <c:v>-2044392206.1752</c:v>
                </c:pt>
                <c:pt idx="1">
                  <c:v>-2892152480.4706721</c:v>
                </c:pt>
                <c:pt idx="2">
                  <c:v>-3519912754.7661443</c:v>
                </c:pt>
                <c:pt idx="3">
                  <c:v>-3707673029.0616164</c:v>
                </c:pt>
                <c:pt idx="4">
                  <c:v>-3655433303.3570886</c:v>
                </c:pt>
                <c:pt idx="5">
                  <c:v>-3443193577.6525607</c:v>
                </c:pt>
                <c:pt idx="6">
                  <c:v>-2990953851.9480329</c:v>
                </c:pt>
                <c:pt idx="7">
                  <c:v>-2338714126.243505</c:v>
                </c:pt>
                <c:pt idx="8">
                  <c:v>-1386474400.5389771</c:v>
                </c:pt>
                <c:pt idx="9">
                  <c:v>-394234674.83444929</c:v>
                </c:pt>
                <c:pt idx="10">
                  <c:v>638005050.87007856</c:v>
                </c:pt>
                <c:pt idx="11">
                  <c:v>1750244776.5746064</c:v>
                </c:pt>
                <c:pt idx="12">
                  <c:v>2942484502.2791343</c:v>
                </c:pt>
                <c:pt idx="13">
                  <c:v>4206258611.5259337</c:v>
                </c:pt>
                <c:pt idx="14">
                  <c:v>5470032720.7727337</c:v>
                </c:pt>
                <c:pt idx="15">
                  <c:v>6797406830.0195332</c:v>
                </c:pt>
                <c:pt idx="16">
                  <c:v>8230780939.2663326</c:v>
                </c:pt>
                <c:pt idx="17">
                  <c:v>9770155048.5131321</c:v>
                </c:pt>
                <c:pt idx="18">
                  <c:v>11415529157.759932</c:v>
                </c:pt>
                <c:pt idx="19">
                  <c:v>13060903267.006731</c:v>
                </c:pt>
                <c:pt idx="20">
                  <c:v>14600277376.253531</c:v>
                </c:pt>
                <c:pt idx="21">
                  <c:v>16245651485.50033</c:v>
                </c:pt>
                <c:pt idx="22">
                  <c:v>17997025594.747131</c:v>
                </c:pt>
                <c:pt idx="23">
                  <c:v>19917999703.993931</c:v>
                </c:pt>
                <c:pt idx="24">
                  <c:v>21457373813.24073</c:v>
                </c:pt>
                <c:pt idx="25">
                  <c:v>23089110369.042339</c:v>
                </c:pt>
                <c:pt idx="26">
                  <c:v>24720846924.843948</c:v>
                </c:pt>
                <c:pt idx="27">
                  <c:v>26060447480.645557</c:v>
                </c:pt>
                <c:pt idx="28">
                  <c:v>27647240036.447166</c:v>
                </c:pt>
                <c:pt idx="29">
                  <c:v>29616056592.248775</c:v>
                </c:pt>
                <c:pt idx="30">
                  <c:v>31472513148.050385</c:v>
                </c:pt>
                <c:pt idx="31">
                  <c:v>33553689703.851994</c:v>
                </c:pt>
                <c:pt idx="32">
                  <c:v>35410146259.653603</c:v>
                </c:pt>
                <c:pt idx="33">
                  <c:v>37266602815.455208</c:v>
                </c:pt>
                <c:pt idx="34">
                  <c:v>39055643371.256813</c:v>
                </c:pt>
                <c:pt idx="35">
                  <c:v>41136819927.058418</c:v>
                </c:pt>
                <c:pt idx="36">
                  <c:v>43330356482.860023</c:v>
                </c:pt>
                <c:pt idx="37">
                  <c:v>45179098832.009727</c:v>
                </c:pt>
                <c:pt idx="38">
                  <c:v>47075481821.159431</c:v>
                </c:pt>
                <c:pt idx="39">
                  <c:v>48709841290.309135</c:v>
                </c:pt>
                <c:pt idx="40">
                  <c:v>50415661719.458839</c:v>
                </c:pt>
                <c:pt idx="41">
                  <c:v>52478786948.608543</c:v>
                </c:pt>
                <c:pt idx="42">
                  <c:v>54613373137.758247</c:v>
                </c:pt>
                <c:pt idx="43">
                  <c:v>56819420286.907951</c:v>
                </c:pt>
                <c:pt idx="44">
                  <c:v>58287037516.057655</c:v>
                </c:pt>
                <c:pt idx="45">
                  <c:v>59802295385.207359</c:v>
                </c:pt>
                <c:pt idx="46">
                  <c:v>61222271974.357063</c:v>
                </c:pt>
                <c:pt idx="47">
                  <c:v>62642248563.506767</c:v>
                </c:pt>
                <c:pt idx="48">
                  <c:v>64062225152.656471</c:v>
                </c:pt>
                <c:pt idx="49">
                  <c:v>65718897572.355156</c:v>
                </c:pt>
                <c:pt idx="50">
                  <c:v>67299821374.453842</c:v>
                </c:pt>
                <c:pt idx="51">
                  <c:v>68830246098.152527</c:v>
                </c:pt>
                <c:pt idx="52">
                  <c:v>70562667135.451218</c:v>
                </c:pt>
                <c:pt idx="53">
                  <c:v>72345587251.149902</c:v>
                </c:pt>
                <c:pt idx="54">
                  <c:v>73926511053.248596</c:v>
                </c:pt>
                <c:pt idx="55">
                  <c:v>75658932090.547287</c:v>
                </c:pt>
                <c:pt idx="56">
                  <c:v>77164107275.045975</c:v>
                </c:pt>
                <c:pt idx="57">
                  <c:v>78669282459.544662</c:v>
                </c:pt>
                <c:pt idx="58">
                  <c:v>80174457644.04335</c:v>
                </c:pt>
                <c:pt idx="59">
                  <c:v>81679632828.542038</c:v>
                </c:pt>
                <c:pt idx="60">
                  <c:v>83184808013.040726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8D-41E7-90BE-6466C2F54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743295"/>
        <c:axId val="2054744255"/>
      </c:lineChart>
      <c:catAx>
        <c:axId val="2054743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054744255"/>
        <c:crosses val="autoZero"/>
        <c:auto val="1"/>
        <c:lblAlgn val="ctr"/>
        <c:lblOffset val="100"/>
        <c:noMultiLvlLbl val="0"/>
      </c:catAx>
      <c:valAx>
        <c:axId val="205474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05474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Inventarios!$E$1</c:f>
              <c:strCache>
                <c:ptCount val="1"/>
                <c:pt idx="0">
                  <c:v>Bodega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Inventarios!$E$2:$E$62</c:f>
              <c:numCache>
                <c:formatCode>General</c:formatCode>
                <c:ptCount val="61"/>
                <c:pt idx="0">
                  <c:v>147</c:v>
                </c:pt>
                <c:pt idx="1">
                  <c:v>249</c:v>
                </c:pt>
                <c:pt idx="2">
                  <c:v>340</c:v>
                </c:pt>
                <c:pt idx="3">
                  <c:v>409</c:v>
                </c:pt>
                <c:pt idx="4">
                  <c:v>466</c:v>
                </c:pt>
                <c:pt idx="5">
                  <c:v>515</c:v>
                </c:pt>
                <c:pt idx="6">
                  <c:v>552</c:v>
                </c:pt>
                <c:pt idx="7">
                  <c:v>579</c:v>
                </c:pt>
                <c:pt idx="8">
                  <c:v>591</c:v>
                </c:pt>
                <c:pt idx="9">
                  <c:v>601</c:v>
                </c:pt>
                <c:pt idx="10">
                  <c:v>609</c:v>
                </c:pt>
                <c:pt idx="11">
                  <c:v>613</c:v>
                </c:pt>
                <c:pt idx="12">
                  <c:v>613</c:v>
                </c:pt>
                <c:pt idx="13">
                  <c:v>613</c:v>
                </c:pt>
                <c:pt idx="14">
                  <c:v>613</c:v>
                </c:pt>
                <c:pt idx="15">
                  <c:v>610</c:v>
                </c:pt>
                <c:pt idx="16">
                  <c:v>602</c:v>
                </c:pt>
                <c:pt idx="17">
                  <c:v>589</c:v>
                </c:pt>
                <c:pt idx="18">
                  <c:v>571</c:v>
                </c:pt>
                <c:pt idx="19">
                  <c:v>553</c:v>
                </c:pt>
                <c:pt idx="20">
                  <c:v>540</c:v>
                </c:pt>
                <c:pt idx="21">
                  <c:v>522</c:v>
                </c:pt>
                <c:pt idx="22">
                  <c:v>499</c:v>
                </c:pt>
                <c:pt idx="23">
                  <c:v>468</c:v>
                </c:pt>
                <c:pt idx="24">
                  <c:v>455</c:v>
                </c:pt>
                <c:pt idx="25">
                  <c:v>442</c:v>
                </c:pt>
                <c:pt idx="26">
                  <c:v>429</c:v>
                </c:pt>
                <c:pt idx="27">
                  <c:v>429</c:v>
                </c:pt>
                <c:pt idx="28">
                  <c:v>418</c:v>
                </c:pt>
                <c:pt idx="29">
                  <c:v>390</c:v>
                </c:pt>
                <c:pt idx="30">
                  <c:v>367</c:v>
                </c:pt>
                <c:pt idx="31">
                  <c:v>334</c:v>
                </c:pt>
                <c:pt idx="32">
                  <c:v>311</c:v>
                </c:pt>
                <c:pt idx="33">
                  <c:v>288</c:v>
                </c:pt>
                <c:pt idx="34">
                  <c:v>268</c:v>
                </c:pt>
                <c:pt idx="35">
                  <c:v>235</c:v>
                </c:pt>
                <c:pt idx="36">
                  <c:v>197</c:v>
                </c:pt>
                <c:pt idx="37">
                  <c:v>179</c:v>
                </c:pt>
                <c:pt idx="38">
                  <c:v>159</c:v>
                </c:pt>
                <c:pt idx="39">
                  <c:v>150</c:v>
                </c:pt>
                <c:pt idx="40">
                  <c:v>138</c:v>
                </c:pt>
                <c:pt idx="41">
                  <c:v>111</c:v>
                </c:pt>
                <c:pt idx="42">
                  <c:v>81</c:v>
                </c:pt>
                <c:pt idx="43">
                  <c:v>48</c:v>
                </c:pt>
                <c:pt idx="44">
                  <c:v>46</c:v>
                </c:pt>
                <c:pt idx="45">
                  <c:v>42</c:v>
                </c:pt>
                <c:pt idx="46">
                  <c:v>42</c:v>
                </c:pt>
                <c:pt idx="47">
                  <c:v>42</c:v>
                </c:pt>
                <c:pt idx="48">
                  <c:v>42</c:v>
                </c:pt>
                <c:pt idx="49">
                  <c:v>36</c:v>
                </c:pt>
                <c:pt idx="50">
                  <c:v>33</c:v>
                </c:pt>
                <c:pt idx="51">
                  <c:v>32</c:v>
                </c:pt>
                <c:pt idx="52">
                  <c:v>23</c:v>
                </c:pt>
                <c:pt idx="53">
                  <c:v>12</c:v>
                </c:pt>
                <c:pt idx="54">
                  <c:v>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98-4289-A024-A835A5F54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6797264"/>
        <c:axId val="1166809264"/>
      </c:lineChart>
      <c:catAx>
        <c:axId val="1166797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166809264"/>
        <c:crosses val="autoZero"/>
        <c:auto val="1"/>
        <c:lblAlgn val="ctr"/>
        <c:lblOffset val="100"/>
        <c:noMultiLvlLbl val="0"/>
      </c:catAx>
      <c:valAx>
        <c:axId val="116680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16679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Flujo de fabricación/venta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Inventarios!$B$1</c:f>
              <c:strCache>
                <c:ptCount val="1"/>
                <c:pt idx="0">
                  <c:v>Para armar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Inventarios!$B$2:$B$62</c:f>
              <c:numCache>
                <c:formatCode>General</c:formatCode>
                <c:ptCount val="61"/>
                <c:pt idx="0">
                  <c:v>147</c:v>
                </c:pt>
                <c:pt idx="1">
                  <c:v>147</c:v>
                </c:pt>
                <c:pt idx="2">
                  <c:v>147</c:v>
                </c:pt>
                <c:pt idx="3">
                  <c:v>147</c:v>
                </c:pt>
                <c:pt idx="4">
                  <c:v>147</c:v>
                </c:pt>
                <c:pt idx="5">
                  <c:v>147</c:v>
                </c:pt>
                <c:pt idx="6">
                  <c:v>147</c:v>
                </c:pt>
                <c:pt idx="7">
                  <c:v>147</c:v>
                </c:pt>
                <c:pt idx="8">
                  <c:v>147</c:v>
                </c:pt>
                <c:pt idx="9">
                  <c:v>147</c:v>
                </c:pt>
                <c:pt idx="10">
                  <c:v>147</c:v>
                </c:pt>
                <c:pt idx="11">
                  <c:v>147</c:v>
                </c:pt>
                <c:pt idx="12">
                  <c:v>147</c:v>
                </c:pt>
                <c:pt idx="13">
                  <c:v>147</c:v>
                </c:pt>
                <c:pt idx="14">
                  <c:v>147</c:v>
                </c:pt>
                <c:pt idx="15">
                  <c:v>147</c:v>
                </c:pt>
                <c:pt idx="16">
                  <c:v>147</c:v>
                </c:pt>
                <c:pt idx="17">
                  <c:v>147</c:v>
                </c:pt>
                <c:pt idx="18">
                  <c:v>147</c:v>
                </c:pt>
                <c:pt idx="19">
                  <c:v>147</c:v>
                </c:pt>
                <c:pt idx="20">
                  <c:v>147</c:v>
                </c:pt>
                <c:pt idx="21">
                  <c:v>147</c:v>
                </c:pt>
                <c:pt idx="22">
                  <c:v>147</c:v>
                </c:pt>
                <c:pt idx="23">
                  <c:v>147</c:v>
                </c:pt>
                <c:pt idx="24">
                  <c:v>147</c:v>
                </c:pt>
                <c:pt idx="25">
                  <c:v>147</c:v>
                </c:pt>
                <c:pt idx="26">
                  <c:v>147</c:v>
                </c:pt>
                <c:pt idx="27">
                  <c:v>147</c:v>
                </c:pt>
                <c:pt idx="28">
                  <c:v>147</c:v>
                </c:pt>
                <c:pt idx="29">
                  <c:v>147</c:v>
                </c:pt>
                <c:pt idx="30">
                  <c:v>147</c:v>
                </c:pt>
                <c:pt idx="31">
                  <c:v>147</c:v>
                </c:pt>
                <c:pt idx="32">
                  <c:v>147</c:v>
                </c:pt>
                <c:pt idx="33">
                  <c:v>147</c:v>
                </c:pt>
                <c:pt idx="34">
                  <c:v>147</c:v>
                </c:pt>
                <c:pt idx="35">
                  <c:v>147</c:v>
                </c:pt>
                <c:pt idx="36">
                  <c:v>147</c:v>
                </c:pt>
                <c:pt idx="37">
                  <c:v>147</c:v>
                </c:pt>
                <c:pt idx="38">
                  <c:v>147</c:v>
                </c:pt>
                <c:pt idx="39">
                  <c:v>147</c:v>
                </c:pt>
                <c:pt idx="40">
                  <c:v>147</c:v>
                </c:pt>
                <c:pt idx="41">
                  <c:v>147</c:v>
                </c:pt>
                <c:pt idx="42">
                  <c:v>147</c:v>
                </c:pt>
                <c:pt idx="43">
                  <c:v>147</c:v>
                </c:pt>
                <c:pt idx="44">
                  <c:v>147</c:v>
                </c:pt>
                <c:pt idx="45">
                  <c:v>147</c:v>
                </c:pt>
                <c:pt idx="46">
                  <c:v>147</c:v>
                </c:pt>
                <c:pt idx="47">
                  <c:v>147</c:v>
                </c:pt>
                <c:pt idx="48">
                  <c:v>147</c:v>
                </c:pt>
                <c:pt idx="49">
                  <c:v>147</c:v>
                </c:pt>
                <c:pt idx="50">
                  <c:v>147</c:v>
                </c:pt>
                <c:pt idx="51">
                  <c:v>147</c:v>
                </c:pt>
                <c:pt idx="52">
                  <c:v>147</c:v>
                </c:pt>
                <c:pt idx="53">
                  <c:v>147</c:v>
                </c:pt>
                <c:pt idx="54">
                  <c:v>147</c:v>
                </c:pt>
                <c:pt idx="55">
                  <c:v>147</c:v>
                </c:pt>
                <c:pt idx="56">
                  <c:v>147</c:v>
                </c:pt>
                <c:pt idx="57">
                  <c:v>147</c:v>
                </c:pt>
                <c:pt idx="58">
                  <c:v>147</c:v>
                </c:pt>
                <c:pt idx="59">
                  <c:v>147</c:v>
                </c:pt>
                <c:pt idx="60">
                  <c:v>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A3-4E04-98EF-2F0379199DBA}"/>
            </c:ext>
          </c:extLst>
        </c:ser>
        <c:ser>
          <c:idx val="1"/>
          <c:order val="1"/>
          <c:tx>
            <c:strRef>
              <c:f>Inventarios!$D$1</c:f>
              <c:strCache>
                <c:ptCount val="1"/>
                <c:pt idx="0">
                  <c:v>Vendida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Inventarios!$D$2:$D$62</c:f>
              <c:numCache>
                <c:formatCode>General</c:formatCode>
                <c:ptCount val="61"/>
                <c:pt idx="0">
                  <c:v>0</c:v>
                </c:pt>
                <c:pt idx="1">
                  <c:v>45</c:v>
                </c:pt>
                <c:pt idx="2">
                  <c:v>56</c:v>
                </c:pt>
                <c:pt idx="3">
                  <c:v>78</c:v>
                </c:pt>
                <c:pt idx="4">
                  <c:v>90</c:v>
                </c:pt>
                <c:pt idx="5">
                  <c:v>98</c:v>
                </c:pt>
                <c:pt idx="6">
                  <c:v>110</c:v>
                </c:pt>
                <c:pt idx="7">
                  <c:v>120</c:v>
                </c:pt>
                <c:pt idx="8">
                  <c:v>135</c:v>
                </c:pt>
                <c:pt idx="9">
                  <c:v>137</c:v>
                </c:pt>
                <c:pt idx="10">
                  <c:v>139</c:v>
                </c:pt>
                <c:pt idx="11">
                  <c:v>143</c:v>
                </c:pt>
                <c:pt idx="12">
                  <c:v>147</c:v>
                </c:pt>
                <c:pt idx="13">
                  <c:v>147</c:v>
                </c:pt>
                <c:pt idx="14">
                  <c:v>147</c:v>
                </c:pt>
                <c:pt idx="15">
                  <c:v>150</c:v>
                </c:pt>
                <c:pt idx="16">
                  <c:v>155</c:v>
                </c:pt>
                <c:pt idx="17">
                  <c:v>160</c:v>
                </c:pt>
                <c:pt idx="18">
                  <c:v>165</c:v>
                </c:pt>
                <c:pt idx="19">
                  <c:v>165</c:v>
                </c:pt>
                <c:pt idx="20">
                  <c:v>160</c:v>
                </c:pt>
                <c:pt idx="21">
                  <c:v>165</c:v>
                </c:pt>
                <c:pt idx="22">
                  <c:v>170</c:v>
                </c:pt>
                <c:pt idx="23">
                  <c:v>178</c:v>
                </c:pt>
                <c:pt idx="24">
                  <c:v>160</c:v>
                </c:pt>
                <c:pt idx="25">
                  <c:v>160</c:v>
                </c:pt>
                <c:pt idx="26">
                  <c:v>160</c:v>
                </c:pt>
                <c:pt idx="27">
                  <c:v>147</c:v>
                </c:pt>
                <c:pt idx="28">
                  <c:v>158</c:v>
                </c:pt>
                <c:pt idx="29">
                  <c:v>175</c:v>
                </c:pt>
                <c:pt idx="30">
                  <c:v>170</c:v>
                </c:pt>
                <c:pt idx="31">
                  <c:v>180</c:v>
                </c:pt>
                <c:pt idx="32">
                  <c:v>170</c:v>
                </c:pt>
                <c:pt idx="33">
                  <c:v>170</c:v>
                </c:pt>
                <c:pt idx="34">
                  <c:v>167</c:v>
                </c:pt>
                <c:pt idx="35">
                  <c:v>180</c:v>
                </c:pt>
                <c:pt idx="36">
                  <c:v>185</c:v>
                </c:pt>
                <c:pt idx="37">
                  <c:v>165</c:v>
                </c:pt>
                <c:pt idx="38">
                  <c:v>167</c:v>
                </c:pt>
                <c:pt idx="39">
                  <c:v>156</c:v>
                </c:pt>
                <c:pt idx="40">
                  <c:v>159</c:v>
                </c:pt>
                <c:pt idx="41">
                  <c:v>174</c:v>
                </c:pt>
                <c:pt idx="42">
                  <c:v>177</c:v>
                </c:pt>
                <c:pt idx="43">
                  <c:v>180</c:v>
                </c:pt>
                <c:pt idx="44">
                  <c:v>149</c:v>
                </c:pt>
                <c:pt idx="45">
                  <c:v>151</c:v>
                </c:pt>
                <c:pt idx="46">
                  <c:v>147</c:v>
                </c:pt>
                <c:pt idx="47">
                  <c:v>147</c:v>
                </c:pt>
                <c:pt idx="48">
                  <c:v>147</c:v>
                </c:pt>
                <c:pt idx="49">
                  <c:v>153</c:v>
                </c:pt>
                <c:pt idx="50">
                  <c:v>150</c:v>
                </c:pt>
                <c:pt idx="51">
                  <c:v>148</c:v>
                </c:pt>
                <c:pt idx="52">
                  <c:v>156</c:v>
                </c:pt>
                <c:pt idx="53">
                  <c:v>158</c:v>
                </c:pt>
                <c:pt idx="54">
                  <c:v>150</c:v>
                </c:pt>
                <c:pt idx="55">
                  <c:v>156</c:v>
                </c:pt>
                <c:pt idx="56">
                  <c:v>147</c:v>
                </c:pt>
                <c:pt idx="57">
                  <c:v>147</c:v>
                </c:pt>
                <c:pt idx="58">
                  <c:v>147</c:v>
                </c:pt>
                <c:pt idx="59">
                  <c:v>147</c:v>
                </c:pt>
                <c:pt idx="60">
                  <c:v>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A3-4E04-98EF-2F0379199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6811184"/>
        <c:axId val="1166811664"/>
      </c:lineChart>
      <c:catAx>
        <c:axId val="1166811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166811664"/>
        <c:crosses val="autoZero"/>
        <c:auto val="1"/>
        <c:lblAlgn val="ctr"/>
        <c:lblOffset val="100"/>
        <c:noMultiLvlLbl val="0"/>
      </c:catAx>
      <c:valAx>
        <c:axId val="11668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16681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79280</xdr:colOff>
      <xdr:row>13</xdr:row>
      <xdr:rowOff>178174</xdr:rowOff>
    </xdr:from>
    <xdr:to>
      <xdr:col>18</xdr:col>
      <xdr:colOff>487456</xdr:colOff>
      <xdr:row>34</xdr:row>
      <xdr:rowOff>59391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B114ED5-8B93-4D77-B147-5223D2D52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375396</xdr:colOff>
      <xdr:row>20</xdr:row>
      <xdr:rowOff>96370</xdr:rowOff>
    </xdr:from>
    <xdr:to>
      <xdr:col>13</xdr:col>
      <xdr:colOff>375396</xdr:colOff>
      <xdr:row>34</xdr:row>
      <xdr:rowOff>172570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F14C5B0-E8F3-8604-9DF8-924B9A2DA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352985</xdr:colOff>
      <xdr:row>38</xdr:row>
      <xdr:rowOff>186017</xdr:rowOff>
    </xdr:from>
    <xdr:to>
      <xdr:col>13</xdr:col>
      <xdr:colOff>352985</xdr:colOff>
      <xdr:row>53</xdr:row>
      <xdr:rowOff>71717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E3D9A8A-18D2-85C3-5C7F-BAE244C9A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mecenter.com.co/homecenter-co/product/643963/tapo-c500/643963" TargetMode="External"/><Relationship Id="rId13" Type="http://schemas.openxmlformats.org/officeDocument/2006/relationships/hyperlink" Target="https://www.fincaraiz.com.co/bodega-en-arriendo-en-la-perseverancia-bogota/191976092" TargetMode="External"/><Relationship Id="rId18" Type="http://schemas.openxmlformats.org/officeDocument/2006/relationships/hyperlink" Target="https://github.com/natc27/Blue-energy-landing/blob/main/Archivos/PDFs/Links%20_Elementos%20de%20seguridad_.docx.pdf" TargetMode="External"/><Relationship Id="rId26" Type="http://schemas.openxmlformats.org/officeDocument/2006/relationships/hyperlink" Target="https://interelectricas.com.co/maniobra-e-industria/8301-sentry-bsr10-rele-de-seguridad-ref-2tla010040r0000-i2.html?gStoreCode=4067922858646998419" TargetMode="External"/><Relationship Id="rId3" Type="http://schemas.openxmlformats.org/officeDocument/2006/relationships/hyperlink" Target="https://openit.com/es/siemens-nx-reinvents-to-cater-to-aec-industrys-needs/" TargetMode="External"/><Relationship Id="rId21" Type="http://schemas.openxmlformats.org/officeDocument/2006/relationships/hyperlink" Target="https://ciudadlimpiabogota.com.co/wp-content/uploads/sites/3/2025/06/202505-Tarifas-ASE-_3.pdf" TargetMode="External"/><Relationship Id="rId7" Type="http://schemas.openxmlformats.org/officeDocument/2006/relationships/hyperlink" Target="https://es.aliexpress.com/i/1005007894485914.html?gatewayAdapt=glo2esp" TargetMode="External"/><Relationship Id="rId12" Type="http://schemas.openxmlformats.org/officeDocument/2006/relationships/hyperlink" Target="https://www.amazon.com/Equilibrador-motocicleta-equilibrador-neum%C3%A1ticos-ajustable/dp/B0BQMDMSHV/ref=asc_df_B0BQMDMSHV?language=es_US&amp;mcid=939996adb1ac36a6966a64f4dd839465&amp;tag=cogoshpadde-20&amp;linkCode=df0&amp;hvadid=720493026944&amp;hvpos=&amp;hvnetw=g&amp;hvrand=12017475025927553183&amp;hvpone=&amp;hvptwo=&amp;hvqmt=&amp;hvdev=c&amp;hvdvcmdl=&amp;hvlocint=&amp;hvlocphy=9197987&amp;hvtargid=pla-2244966108614&amp;psc=1&amp;language=es_US" TargetMode="External"/><Relationship Id="rId17" Type="http://schemas.openxmlformats.org/officeDocument/2006/relationships/hyperlink" Target="https://www.homecenter.com.co/homecenter-co/product/703785/dvr-xvr-dh-xvr1b04-i-4ch-1ch-ip-4-en-1-dahua/703785/" TargetMode="External"/><Relationship Id="rId25" Type="http://schemas.openxmlformats.org/officeDocument/2006/relationships/hyperlink" Target="https://www.ebay.com/itm/405187838880?chn=ps&amp;mkevt=1&amp;mkcid=28&amp;google_free_listing_action=view_item" TargetMode="External"/><Relationship Id="rId2" Type="http://schemas.openxmlformats.org/officeDocument/2006/relationships/hyperlink" Target="https://www.codingplc.com/blog/how-to-buy-right-studio5000-license" TargetMode="External"/><Relationship Id="rId16" Type="http://schemas.openxmlformats.org/officeDocument/2006/relationships/hyperlink" Target="https://github.com/natc27/Blue-energy-landing/blob/main/Archivos/PDFs/Links%20_KIT%20de%20elementos%20de%20protecci%C3%B3n_.docx.pdf" TargetMode="External"/><Relationship Id="rId20" Type="http://schemas.openxmlformats.org/officeDocument/2006/relationships/hyperlink" Target="https://www.acueducto.com.co/wps/portal/EAB2/Home/atencion-al-usuario/tarifas/tarifas_2025" TargetMode="External"/><Relationship Id="rId1" Type="http://schemas.openxmlformats.org/officeDocument/2006/relationships/hyperlink" Target="https://www.alibaba.com/product-detail/Customized-Heavy-Duty-Construction-Machinery-Parts_1601295233805.html?spm=a2700.factory_search.0.0.56695fb2MaEOYH" TargetMode="External"/><Relationship Id="rId6" Type="http://schemas.openxmlformats.org/officeDocument/2006/relationships/hyperlink" Target="https://articulo.mercadolibre.com.co/MCO-2864579434-esab-rebel-emp-215ic-paratig-migstick-por-esab-rebel-_JM?matt_tool=19390127" TargetMode="External"/><Relationship Id="rId11" Type="http://schemas.openxmlformats.org/officeDocument/2006/relationships/hyperlink" Target="https://www.amazon.com/STARWORK-Mechanic-herramientas-mec%C3%A1nicas-profesional/dp/B0DBKT8NCH/ref=asc_df_B093GM4KHL?language=es_US&amp;mcid=bfd935f4e908326d84f43bd15b3af539&amp;tag=cogoshpadde-20&amp;linkCode=df0&amp;hvadid=721997337734&amp;hvpos=&amp;hvnetw=g&amp;hvrand=3766601962167227046&amp;hvpone=&amp;hvptwo=&amp;hvqmt=&amp;hvdev=c&amp;hvdvcmdl=&amp;hvlocint=&amp;hvlocphy=9197987&amp;hvtargid=pla-1650480184027&amp;th=1" TargetMode="External"/><Relationship Id="rId24" Type="http://schemas.openxmlformats.org/officeDocument/2006/relationships/hyperlink" Target="https://www.amazon.com/Sistema-Kit-cerradura-magn%C3%A9tica-el%C3%A9ctrica/dp/B0CW9NRSTP/ref=asc_df_B0CW9NRSTP?language=es_US&amp;mcid=f0d43fac866e3161bc580bfff0eafce5&amp;tag=cogoshpadde-20&amp;linkCode=df0&amp;hvadid=720379347033&amp;hvpos=&amp;hvnetw=g&amp;hvrand=1131601307736899077&amp;hvpone=&amp;hvptwo=&amp;hvqmt=&amp;hvdev=c&amp;hvdvcmdl=&amp;hvlocint=&amp;hvlocphy=9197987&amp;hvtargid=pla-2317631010624&amp;th=1" TargetMode="External"/><Relationship Id="rId5" Type="http://schemas.openxmlformats.org/officeDocument/2006/relationships/hyperlink" Target="https://www.heatsign.com/es/producto/punzonadora-de-numeros-de-chasis/" TargetMode="External"/><Relationship Id="rId15" Type="http://schemas.openxmlformats.org/officeDocument/2006/relationships/hyperlink" Target="https://mascolortapetes.com/producto/tapetes-antifatiga/?srsltid=AfmBOoor1ajLaW9aI43X2dmFsaxxHLmFSB0nD7tu_sRVg9RE2Mom1iow" TargetMode="External"/><Relationship Id="rId23" Type="http://schemas.openxmlformats.org/officeDocument/2006/relationships/hyperlink" Target="https://www.homecenter.com.co/homecenter-co/product/768973/malla-eslabonada-de-200-x-100-m-en-metal-galvanizado-de-225mm-de-21-4x21-4-huecos-por-pulgada-colmallas/768973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homecenter.com.co/homecenter-co/product/910086/estante-metalico-4-niveles-160x60x183-cm/910086/?kid=goosho_1161562&amp;shop=googleShopping&amp;gad_source=4&amp;gad_campaignid=17622046203&amp;gbraid=0AAAAADt6wnoGBJ9mvAlvsmrd32U6ESwBK&amp;gclid=CjwKCAjwyb3DBhBlEiwAqZLe5Mei8Xd6--_lIAQa77k8zVSk1ctT5qollv-n66OtnBYoxQDTGWLUshoC64UQAvD_BwE" TargetMode="External"/><Relationship Id="rId19" Type="http://schemas.openxmlformats.org/officeDocument/2006/relationships/hyperlink" Target="https://www.enel.com.co/es/personas/tarifas-energia-enel-distribucion.html" TargetMode="External"/><Relationship Id="rId4" Type="http://schemas.openxmlformats.org/officeDocument/2006/relationships/hyperlink" Target="https://www.alibaba.com/product-detail/Robot-Arm-6-Axis-IRB-2600ID_1600062931154.html" TargetMode="External"/><Relationship Id="rId9" Type="http://schemas.openxmlformats.org/officeDocument/2006/relationships/hyperlink" Target="https://www.alibaba.com/product-detail/Factory-Price-Industrial-Inclined-1-Meter_1601211722502.html?spm=a2700.7735675.0.0.3e6cjxdGjxdG9w&amp;s=p" TargetMode="External"/><Relationship Id="rId14" Type="http://schemas.openxmlformats.org/officeDocument/2006/relationships/hyperlink" Target="https://github.com/natc27/Blue-energy-landing/blob/main/Archivos/PDFs/Links%20_KIT%20de%20herramientas%20de%20medici%C3%B3n_.docx.pdf" TargetMode="External"/><Relationship Id="rId22" Type="http://schemas.openxmlformats.org/officeDocument/2006/relationships/hyperlink" Target="https://www.amazon.es/dp/B01MTFTXIA?tag=rakel1979-21&amp;linkCode=ogi&amp;th=1&amp;keywords=impresoras%2Bde%2Betiquetas%2Bde%2Bc%C3%B3digos%2Bde%2Bbarras" TargetMode="External"/><Relationship Id="rId27" Type="http://schemas.openxmlformats.org/officeDocument/2006/relationships/hyperlink" Target="https://www.airportcomponents.com/en/product/deadman-con-cable-14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rticulo.mercadolibre.com.co/MCO-1941517830-porta-placa-suzuki-en-acero-inoxidable-logo-en-3d-_JM?searchVariation=180158299131" TargetMode="External"/><Relationship Id="rId13" Type="http://schemas.openxmlformats.org/officeDocument/2006/relationships/hyperlink" Target="https://articulo.mercadolibre.com.co/MCO-1013537730-stop-trasero-pulsar-ns-200150-as200-tipo-original-_JM?searchVariation=175562318431" TargetMode="External"/><Relationship Id="rId18" Type="http://schemas.openxmlformats.org/officeDocument/2006/relationships/hyperlink" Target="https://motomellos.com/producto/manubrio-strong-pulsar-ns-200-holograma/" TargetMode="External"/><Relationship Id="rId3" Type="http://schemas.openxmlformats.org/officeDocument/2006/relationships/hyperlink" Target="https://www.alkosto.com/llanta-moto-dunlop-gt601-130-70-17-tl-trasera/p/7707235453689" TargetMode="External"/><Relationship Id="rId7" Type="http://schemas.openxmlformats.org/officeDocument/2006/relationships/hyperlink" Target="https://articulo.mercadolibre.com.co/MCO-1447226855-yamaha-calcomanias-stickers-adhesivo-kit-x-14-unidades-_JM?searchVariation=183493421507" TargetMode="External"/><Relationship Id="rId12" Type="http://schemas.openxmlformats.org/officeDocument/2006/relationships/hyperlink" Target="https://articulo.mercadolibre.com.co/MCO-2838630632-farola-delantera-completa-para-bajaj-pulsar-ns200-negro-mtc-_JM" TargetMode="External"/><Relationship Id="rId17" Type="http://schemas.openxmlformats.org/officeDocument/2006/relationships/hyperlink" Target="https://articulo.mercadolibre.com.co/MCO-541538773-monoshock-amortiguador-para-pulsar-ns-200-endurance-original-_JM" TargetMode="External"/><Relationship Id="rId2" Type="http://schemas.openxmlformats.org/officeDocument/2006/relationships/hyperlink" Target="https://www.amazon.com/-/es/el%C3%A9ctrico-motocicleta-el%C3%A9ctrica-almacenamiento-impermeable/dp/B0D1NG8Z78" TargetMode="External"/><Relationship Id="rId16" Type="http://schemas.openxmlformats.org/officeDocument/2006/relationships/hyperlink" Target="https://ryderzone.com/es/products/2012-2016-honda-cbr1000rr-bolts-set-nuts-washers-misc-hardware-screws-hose-oem?srsltid=AfmBOoo6sGL-5GsRc8Ldc_XLKUyD1-5ePfS9ALIQgCev1DECfDN4Xsfw3D" TargetMode="External"/><Relationship Id="rId1" Type="http://schemas.openxmlformats.org/officeDocument/2006/relationships/hyperlink" Target="https://www.alibaba.com/product-detail/YMMOTOR-14inch-3000w-260-V2-Electric_1600928266537.html?spm=a2700.details.you_may_like.1.4f8d1f8dJldQHE" TargetMode="External"/><Relationship Id="rId6" Type="http://schemas.openxmlformats.org/officeDocument/2006/relationships/hyperlink" Target="https://articulo.mercadolibre.com.co/MCO-2370704922-kit-plastico-xtz-150-tapas-tanque-guardabarro-carenaje-calca-_JM?searchVariation=186604642937" TargetMode="External"/><Relationship Id="rId11" Type="http://schemas.openxmlformats.org/officeDocument/2006/relationships/hyperlink" Target="https://articulo.mercadolibre.com.co/MCO-1560643879-cojin-silla-moto-akt-ttr-150-200-ttds-200-rally-forro-viaje-_JM?searchVariation=183215748284" TargetMode="External"/><Relationship Id="rId5" Type="http://schemas.openxmlformats.org/officeDocument/2006/relationships/hyperlink" Target="https://www.ebay.com/itm/235739789900?itmmeta=01K00MCWVTVVVRVN761CRJ74SS&amp;hash=item36e32fba4c:g:RB0AAOSwyYlYm62o&amp;itmprp=enc%3AAQAKAAAA4MHg7L1Zz0LA5DYYmRTS30mZ10ACF28iXbXFvega4h6MBGKTuxawjoE2DiPQ%2BWtSfrOFip9N%2Fvy4tmrfIKxZxypBq5SkDtnIN5zlHb2YWFOXrT48gWxzCaiNy9c1RjkuV2JGFScKVXshresfvPlCfMfrlbCALNH79DkcRfJ3RMZ0ugyw3N4tMuA53opX3R5JTZzN7s%2B7JFo2FgYW6G6KGA7xGl04%2FGLCEWEKM0Vr7eD1BJlkRaV5xl%2FF7phECYaQ1V4LlpkZ7WnjD9fTInXlIPwmGh09PcmVL%2BgcGOiWQ0XA%7Ctkp%3ABFBMhM6zlIBm" TargetMode="External"/><Relationship Id="rId15" Type="http://schemas.openxmlformats.org/officeDocument/2006/relationships/hyperlink" Target="https://beelectric.co/product/bateria-litio-48v-20ah/" TargetMode="External"/><Relationship Id="rId10" Type="http://schemas.openxmlformats.org/officeDocument/2006/relationships/hyperlink" Target="https://www.mercadolibre.com.co/direccional-x4-und-led-yamaha-xtz250-xtz150-mt15-fz16/p/MCO2005426227?pdp_filters=SHIPPING_ORIGIN%3A10215069" TargetMode="External"/><Relationship Id="rId19" Type="http://schemas.openxmlformats.org/officeDocument/2006/relationships/hyperlink" Target="https://www.garageonline.cl/telescopicas-/2425-telescopica-completa-pulsar-ns-200-fi-abs-rs-200-bajaj-genuina.html" TargetMode="External"/><Relationship Id="rId4" Type="http://schemas.openxmlformats.org/officeDocument/2006/relationships/hyperlink" Target="https://articulo.mercadolibre.com.co/MCO-603978543-rin-delantero-para-susuki-gn-125-_JM" TargetMode="External"/><Relationship Id="rId9" Type="http://schemas.openxmlformats.org/officeDocument/2006/relationships/hyperlink" Target="https://articulo.mercadolibre.com.co/MCO-2880788858-tapa-de-bateria-lateral-para-motocicleta-aluminio-fundido-a-_JM" TargetMode="External"/><Relationship Id="rId14" Type="http://schemas.openxmlformats.org/officeDocument/2006/relationships/hyperlink" Target="https://www.ebay.com/itm/195302438692?chn=ps&amp;mkevt=1&amp;mkcid=28&amp;google_free_listing_action=view_ite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0E97-9480-4166-B38C-4D6740F07C47}">
  <dimension ref="B2:K41"/>
  <sheetViews>
    <sheetView workbookViewId="0">
      <selection activeCell="H13" sqref="H13"/>
    </sheetView>
  </sheetViews>
  <sheetFormatPr baseColWidth="10" defaultRowHeight="15" x14ac:dyDescent="0.25"/>
  <cols>
    <col min="2" max="2" width="21.140625" customWidth="1"/>
    <col min="3" max="3" width="62.140625" customWidth="1"/>
    <col min="4" max="4" width="24" customWidth="1"/>
    <col min="5" max="5" width="19.28515625" customWidth="1"/>
    <col min="6" max="6" width="35.42578125" customWidth="1"/>
    <col min="7" max="7" width="18.5703125" customWidth="1"/>
    <col min="8" max="8" width="32.140625" customWidth="1"/>
  </cols>
  <sheetData>
    <row r="2" spans="2:8" x14ac:dyDescent="0.25">
      <c r="B2" s="74" t="s">
        <v>23</v>
      </c>
      <c r="C2" s="74" t="s">
        <v>0</v>
      </c>
      <c r="D2" s="74" t="s">
        <v>14</v>
      </c>
      <c r="F2" s="74" t="s">
        <v>31</v>
      </c>
      <c r="G2" s="1"/>
      <c r="H2" s="74" t="s">
        <v>32</v>
      </c>
    </row>
    <row r="3" spans="2:8" ht="45" x14ac:dyDescent="0.25">
      <c r="B3" s="2" t="s">
        <v>3</v>
      </c>
      <c r="C3" s="2" t="s">
        <v>30</v>
      </c>
      <c r="D3" s="15" t="s">
        <v>43</v>
      </c>
      <c r="F3" s="2" t="s">
        <v>25</v>
      </c>
      <c r="G3" s="1"/>
      <c r="H3" s="2" t="s">
        <v>33</v>
      </c>
    </row>
    <row r="4" spans="2:8" ht="45" x14ac:dyDescent="0.25">
      <c r="B4" s="2" t="s">
        <v>4</v>
      </c>
      <c r="C4" s="2" t="s">
        <v>13</v>
      </c>
      <c r="D4" s="15" t="s">
        <v>44</v>
      </c>
      <c r="F4" s="2" t="s">
        <v>26</v>
      </c>
      <c r="G4" s="1"/>
      <c r="H4" s="2" t="s">
        <v>42</v>
      </c>
    </row>
    <row r="5" spans="2:8" ht="45" x14ac:dyDescent="0.25">
      <c r="B5" s="2" t="s">
        <v>5</v>
      </c>
      <c r="C5" s="2" t="s">
        <v>15</v>
      </c>
      <c r="D5" s="2"/>
      <c r="F5" s="2" t="s">
        <v>27</v>
      </c>
      <c r="G5" s="1"/>
      <c r="H5" s="3" t="s">
        <v>34</v>
      </c>
    </row>
    <row r="6" spans="2:8" ht="30" x14ac:dyDescent="0.25">
      <c r="B6" s="2" t="s">
        <v>6</v>
      </c>
      <c r="C6" s="2" t="s">
        <v>16</v>
      </c>
      <c r="D6" s="4" t="s">
        <v>45</v>
      </c>
      <c r="F6" s="2" t="s">
        <v>28</v>
      </c>
      <c r="G6" s="1"/>
      <c r="H6" s="3" t="s">
        <v>35</v>
      </c>
    </row>
    <row r="7" spans="2:8" ht="30" x14ac:dyDescent="0.25">
      <c r="B7" s="2" t="s">
        <v>7</v>
      </c>
      <c r="C7" s="2" t="s">
        <v>17</v>
      </c>
      <c r="D7" s="2"/>
      <c r="F7" s="2" t="s">
        <v>29</v>
      </c>
      <c r="G7" s="1"/>
      <c r="H7" s="2" t="s">
        <v>36</v>
      </c>
    </row>
    <row r="8" spans="2:8" x14ac:dyDescent="0.25">
      <c r="B8" s="2" t="s">
        <v>8</v>
      </c>
      <c r="C8" s="2" t="s">
        <v>18</v>
      </c>
      <c r="D8" s="2"/>
      <c r="F8" s="2" t="s">
        <v>37</v>
      </c>
      <c r="G8" s="1"/>
      <c r="H8" s="2" t="s">
        <v>38</v>
      </c>
    </row>
    <row r="9" spans="2:8" ht="45" x14ac:dyDescent="0.25">
      <c r="B9" s="2" t="s">
        <v>9</v>
      </c>
      <c r="C9" s="2" t="s">
        <v>19</v>
      </c>
      <c r="D9" s="2"/>
      <c r="G9" s="1"/>
      <c r="H9" s="2" t="s">
        <v>39</v>
      </c>
    </row>
    <row r="10" spans="2:8" ht="30" x14ac:dyDescent="0.25">
      <c r="B10" s="2" t="s">
        <v>10</v>
      </c>
      <c r="C10" s="2" t="s">
        <v>20</v>
      </c>
      <c r="D10" s="2"/>
      <c r="F10" s="1"/>
      <c r="G10" s="1"/>
      <c r="H10" s="2" t="s">
        <v>40</v>
      </c>
    </row>
    <row r="11" spans="2:8" ht="30" x14ac:dyDescent="0.25">
      <c r="B11" s="2" t="s">
        <v>11</v>
      </c>
      <c r="C11" s="2" t="s">
        <v>21</v>
      </c>
      <c r="D11" s="2" t="s">
        <v>24</v>
      </c>
      <c r="F11" s="1"/>
      <c r="G11" s="1"/>
      <c r="H11" s="2" t="s">
        <v>41</v>
      </c>
    </row>
    <row r="12" spans="2:8" ht="30" x14ac:dyDescent="0.25">
      <c r="B12" s="2" t="s">
        <v>12</v>
      </c>
      <c r="C12" s="2" t="s">
        <v>22</v>
      </c>
      <c r="D12" s="2"/>
      <c r="F12" s="1"/>
      <c r="G12" s="1"/>
      <c r="H12" s="14" t="s">
        <v>280</v>
      </c>
    </row>
    <row r="31" spans="9:11" ht="33.75" customHeight="1" x14ac:dyDescent="0.25">
      <c r="I31" s="1"/>
      <c r="J31" s="1"/>
      <c r="K31" s="1"/>
    </row>
    <row r="32" spans="9:11" ht="49.5" customHeight="1" x14ac:dyDescent="0.25">
      <c r="I32" s="1"/>
      <c r="J32" s="1"/>
      <c r="K32" s="1"/>
    </row>
    <row r="33" spans="9:11" ht="48.75" customHeight="1" x14ac:dyDescent="0.25">
      <c r="I33" s="1"/>
      <c r="J33" s="1"/>
      <c r="K33" s="1"/>
    </row>
    <row r="34" spans="9:11" ht="33.75" customHeight="1" x14ac:dyDescent="0.25">
      <c r="I34" s="1"/>
      <c r="J34" s="1"/>
      <c r="K34" s="1"/>
    </row>
    <row r="35" spans="9:11" ht="33.75" customHeight="1" x14ac:dyDescent="0.25">
      <c r="I35" s="1"/>
      <c r="J35" s="1"/>
      <c r="K35" s="1"/>
    </row>
    <row r="36" spans="9:11" ht="33.75" customHeight="1" x14ac:dyDescent="0.25">
      <c r="I36" s="1"/>
      <c r="J36" s="1"/>
      <c r="K36" s="1"/>
    </row>
    <row r="37" spans="9:11" ht="33.75" customHeight="1" x14ac:dyDescent="0.25">
      <c r="I37" s="1"/>
      <c r="J37" s="1"/>
      <c r="K37" s="1"/>
    </row>
    <row r="38" spans="9:11" ht="48" customHeight="1" x14ac:dyDescent="0.25">
      <c r="I38" s="1"/>
      <c r="J38" s="1"/>
      <c r="K38" s="1"/>
    </row>
    <row r="39" spans="9:11" ht="33.75" customHeight="1" x14ac:dyDescent="0.25">
      <c r="I39" s="1"/>
      <c r="J39" s="1"/>
      <c r="K39" s="1"/>
    </row>
    <row r="40" spans="9:11" ht="33.75" customHeight="1" x14ac:dyDescent="0.25">
      <c r="I40" s="1"/>
      <c r="J40" s="1"/>
      <c r="K40" s="1"/>
    </row>
    <row r="41" spans="9:11" ht="33.75" customHeight="1" x14ac:dyDescent="0.25">
      <c r="I41" s="1"/>
      <c r="J41" s="1"/>
      <c r="K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AF55-694E-4547-8EE0-B312EEC20B4A}">
  <dimension ref="A1:I16"/>
  <sheetViews>
    <sheetView tabSelected="1" zoomScaleNormal="100" workbookViewId="0">
      <selection activeCell="I4" sqref="I4"/>
    </sheetView>
  </sheetViews>
  <sheetFormatPr baseColWidth="10" defaultRowHeight="15" x14ac:dyDescent="0.25"/>
  <cols>
    <col min="1" max="1" width="15.5703125" customWidth="1"/>
    <col min="2" max="2" width="16.140625" customWidth="1"/>
    <col min="3" max="3" width="18" customWidth="1"/>
    <col min="4" max="4" width="18.85546875" customWidth="1"/>
    <col min="9" max="9" width="20.42578125" customWidth="1"/>
  </cols>
  <sheetData>
    <row r="1" spans="1:9" ht="54" x14ac:dyDescent="0.25">
      <c r="A1" s="109" t="s">
        <v>286</v>
      </c>
      <c r="B1" s="109" t="s">
        <v>287</v>
      </c>
      <c r="C1" s="109" t="s">
        <v>288</v>
      </c>
      <c r="D1" s="109" t="s">
        <v>289</v>
      </c>
      <c r="E1" s="109" t="s">
        <v>290</v>
      </c>
      <c r="F1" s="109" t="s">
        <v>291</v>
      </c>
      <c r="G1" s="109" t="s">
        <v>292</v>
      </c>
      <c r="H1" s="109" t="s">
        <v>2</v>
      </c>
      <c r="I1" s="109" t="s">
        <v>293</v>
      </c>
    </row>
    <row r="2" spans="1:9" ht="60" x14ac:dyDescent="0.25">
      <c r="A2" s="109" t="s">
        <v>294</v>
      </c>
      <c r="B2" s="2" t="s">
        <v>295</v>
      </c>
      <c r="C2" s="2" t="s">
        <v>296</v>
      </c>
      <c r="D2" s="2" t="s">
        <v>297</v>
      </c>
      <c r="E2" s="2">
        <v>9</v>
      </c>
      <c r="F2" s="2">
        <v>2</v>
      </c>
      <c r="G2" s="2">
        <v>5</v>
      </c>
      <c r="H2" s="2">
        <f>G2*F2*E2</f>
        <v>90</v>
      </c>
      <c r="I2" s="2" t="s">
        <v>298</v>
      </c>
    </row>
    <row r="3" spans="1:9" ht="75" x14ac:dyDescent="0.25">
      <c r="A3" s="109" t="s">
        <v>299</v>
      </c>
      <c r="B3" s="2" t="s">
        <v>300</v>
      </c>
      <c r="C3" s="2" t="s">
        <v>301</v>
      </c>
      <c r="D3" s="2" t="s">
        <v>302</v>
      </c>
      <c r="E3" s="2">
        <v>8</v>
      </c>
      <c r="F3" s="2">
        <v>3</v>
      </c>
      <c r="G3" s="2">
        <v>4</v>
      </c>
      <c r="H3" s="2">
        <f>G3*F3*E3</f>
        <v>96</v>
      </c>
      <c r="I3" s="2" t="s">
        <v>303</v>
      </c>
    </row>
    <row r="4" spans="1:9" ht="105" x14ac:dyDescent="0.25">
      <c r="A4" s="109" t="s">
        <v>304</v>
      </c>
      <c r="B4" s="2" t="s">
        <v>305</v>
      </c>
      <c r="C4" s="2" t="s">
        <v>306</v>
      </c>
      <c r="D4" s="2" t="s">
        <v>307</v>
      </c>
      <c r="E4" s="2">
        <v>10</v>
      </c>
      <c r="F4" s="2">
        <v>2</v>
      </c>
      <c r="G4" s="2">
        <v>2</v>
      </c>
      <c r="H4" s="2">
        <f>G4*F4*E4</f>
        <v>40</v>
      </c>
      <c r="I4" s="2" t="s">
        <v>308</v>
      </c>
    </row>
    <row r="5" spans="1:9" ht="90" x14ac:dyDescent="0.25">
      <c r="A5" s="109" t="s">
        <v>309</v>
      </c>
      <c r="B5" s="2" t="s">
        <v>310</v>
      </c>
      <c r="C5" s="2" t="s">
        <v>311</v>
      </c>
      <c r="D5" s="2" t="s">
        <v>312</v>
      </c>
      <c r="E5" s="2">
        <v>8</v>
      </c>
      <c r="F5" s="2">
        <v>3</v>
      </c>
      <c r="G5" s="2">
        <v>3</v>
      </c>
      <c r="H5" s="2">
        <f>G5*F5*E5</f>
        <v>72</v>
      </c>
      <c r="I5" s="2" t="s">
        <v>313</v>
      </c>
    </row>
    <row r="6" spans="1:9" ht="90" x14ac:dyDescent="0.25">
      <c r="A6" s="109" t="s">
        <v>314</v>
      </c>
      <c r="B6" s="2" t="s">
        <v>315</v>
      </c>
      <c r="C6" s="2" t="s">
        <v>316</v>
      </c>
      <c r="D6" s="2" t="s">
        <v>317</v>
      </c>
      <c r="E6" s="2">
        <v>9</v>
      </c>
      <c r="F6" s="2">
        <v>4</v>
      </c>
      <c r="G6" s="2">
        <v>2</v>
      </c>
      <c r="H6" s="2">
        <f>G6*F6*E6</f>
        <v>72</v>
      </c>
      <c r="I6" s="2" t="s">
        <v>318</v>
      </c>
    </row>
    <row r="7" spans="1:9" ht="120" x14ac:dyDescent="0.25">
      <c r="A7" s="109" t="s">
        <v>319</v>
      </c>
      <c r="B7" s="2" t="s">
        <v>320</v>
      </c>
      <c r="C7" s="2" t="s">
        <v>321</v>
      </c>
      <c r="D7" s="2" t="s">
        <v>322</v>
      </c>
      <c r="E7" s="2">
        <v>7</v>
      </c>
      <c r="F7" s="2">
        <v>3</v>
      </c>
      <c r="G7" s="2">
        <v>6</v>
      </c>
      <c r="H7" s="2">
        <f>G7*F7*E7</f>
        <v>126</v>
      </c>
      <c r="I7" s="2" t="s">
        <v>323</v>
      </c>
    </row>
    <row r="8" spans="1:9" ht="60" x14ac:dyDescent="0.25">
      <c r="A8" s="109" t="s">
        <v>324</v>
      </c>
      <c r="B8" s="2" t="s">
        <v>325</v>
      </c>
      <c r="C8" s="2" t="s">
        <v>326</v>
      </c>
      <c r="D8" s="2" t="s">
        <v>327</v>
      </c>
      <c r="E8" s="2">
        <v>8</v>
      </c>
      <c r="F8" s="2">
        <v>2</v>
      </c>
      <c r="G8" s="2">
        <v>3</v>
      </c>
      <c r="H8" s="2">
        <f>G8*F8*E8</f>
        <v>48</v>
      </c>
      <c r="I8" s="2" t="s">
        <v>328</v>
      </c>
    </row>
    <row r="9" spans="1:9" ht="120" x14ac:dyDescent="0.25">
      <c r="A9" s="109" t="s">
        <v>329</v>
      </c>
      <c r="B9" s="2" t="s">
        <v>330</v>
      </c>
      <c r="C9" s="2" t="s">
        <v>331</v>
      </c>
      <c r="D9" s="2" t="s">
        <v>332</v>
      </c>
      <c r="E9" s="2">
        <v>7</v>
      </c>
      <c r="F9" s="2">
        <v>2</v>
      </c>
      <c r="G9" s="2">
        <v>4</v>
      </c>
      <c r="H9" s="2">
        <f>G9*F9*E9</f>
        <v>56</v>
      </c>
      <c r="I9" s="2" t="s">
        <v>333</v>
      </c>
    </row>
    <row r="10" spans="1:9" ht="75" x14ac:dyDescent="0.25">
      <c r="A10" s="109" t="s">
        <v>334</v>
      </c>
      <c r="B10" s="2" t="s">
        <v>335</v>
      </c>
      <c r="C10" s="2" t="s">
        <v>336</v>
      </c>
      <c r="D10" s="2" t="s">
        <v>337</v>
      </c>
      <c r="E10" s="2">
        <v>6</v>
      </c>
      <c r="F10" s="2">
        <v>2</v>
      </c>
      <c r="G10" s="2">
        <v>3</v>
      </c>
      <c r="H10" s="2">
        <f>G10*F10*E10</f>
        <v>36</v>
      </c>
      <c r="I10" s="2" t="s">
        <v>338</v>
      </c>
    </row>
    <row r="11" spans="1:9" ht="75" x14ac:dyDescent="0.25">
      <c r="A11" s="109" t="s">
        <v>339</v>
      </c>
      <c r="B11" s="2" t="s">
        <v>340</v>
      </c>
      <c r="C11" s="2" t="s">
        <v>341</v>
      </c>
      <c r="D11" s="2" t="s">
        <v>342</v>
      </c>
      <c r="E11" s="2">
        <v>9</v>
      </c>
      <c r="F11" s="2">
        <v>3</v>
      </c>
      <c r="G11" s="2">
        <v>3</v>
      </c>
      <c r="H11" s="2">
        <f>G11*F11*E11</f>
        <v>81</v>
      </c>
      <c r="I11" s="2" t="s">
        <v>343</v>
      </c>
    </row>
    <row r="12" spans="1:9" ht="75" x14ac:dyDescent="0.25">
      <c r="A12" s="109" t="s">
        <v>344</v>
      </c>
      <c r="B12" s="2" t="s">
        <v>345</v>
      </c>
      <c r="C12" s="2" t="s">
        <v>346</v>
      </c>
      <c r="D12" s="2" t="s">
        <v>347</v>
      </c>
      <c r="E12" s="2">
        <v>8</v>
      </c>
      <c r="F12" s="2">
        <v>3</v>
      </c>
      <c r="G12" s="2">
        <v>3</v>
      </c>
      <c r="H12" s="2">
        <f>G12*F12*E12</f>
        <v>72</v>
      </c>
      <c r="I12" s="2" t="s">
        <v>348</v>
      </c>
    </row>
    <row r="13" spans="1:9" ht="90" x14ac:dyDescent="0.25">
      <c r="A13" s="109" t="s">
        <v>349</v>
      </c>
      <c r="B13" s="2" t="s">
        <v>350</v>
      </c>
      <c r="C13" s="2" t="s">
        <v>351</v>
      </c>
      <c r="D13" s="2" t="s">
        <v>352</v>
      </c>
      <c r="E13" s="2">
        <v>9</v>
      </c>
      <c r="F13" s="2">
        <v>3</v>
      </c>
      <c r="G13" s="2">
        <v>2</v>
      </c>
      <c r="H13" s="2">
        <f>G13*F13*E13</f>
        <v>54</v>
      </c>
      <c r="I13" s="2" t="s">
        <v>353</v>
      </c>
    </row>
    <row r="14" spans="1:9" ht="90" x14ac:dyDescent="0.25">
      <c r="A14" s="109" t="s">
        <v>354</v>
      </c>
      <c r="B14" s="2" t="s">
        <v>355</v>
      </c>
      <c r="C14" s="2" t="s">
        <v>356</v>
      </c>
      <c r="D14" s="2" t="s">
        <v>357</v>
      </c>
      <c r="E14" s="2">
        <v>7</v>
      </c>
      <c r="F14" s="2">
        <v>4</v>
      </c>
      <c r="G14" s="2">
        <v>4</v>
      </c>
      <c r="H14" s="2">
        <f>G14*F14*E14</f>
        <v>112</v>
      </c>
      <c r="I14" s="2" t="s">
        <v>358</v>
      </c>
    </row>
    <row r="15" spans="1:9" ht="75" x14ac:dyDescent="0.25">
      <c r="A15" s="109" t="s">
        <v>359</v>
      </c>
      <c r="B15" s="2" t="s">
        <v>360</v>
      </c>
      <c r="C15" s="2" t="s">
        <v>361</v>
      </c>
      <c r="D15" s="2" t="s">
        <v>362</v>
      </c>
      <c r="E15" s="2">
        <v>10</v>
      </c>
      <c r="F15" s="2">
        <v>2</v>
      </c>
      <c r="G15" s="2">
        <v>2</v>
      </c>
      <c r="H15" s="2">
        <f>G15*F15*E15</f>
        <v>40</v>
      </c>
      <c r="I15" s="2" t="s">
        <v>363</v>
      </c>
    </row>
    <row r="16" spans="1:9" ht="69.75" customHeight="1" x14ac:dyDescent="0.25">
      <c r="A16" s="109" t="s">
        <v>364</v>
      </c>
      <c r="B16" s="2" t="s">
        <v>365</v>
      </c>
      <c r="C16" s="2" t="s">
        <v>366</v>
      </c>
      <c r="D16" s="2" t="s">
        <v>367</v>
      </c>
      <c r="E16" s="2">
        <v>8</v>
      </c>
      <c r="F16" s="2">
        <v>3</v>
      </c>
      <c r="G16" s="2">
        <v>3</v>
      </c>
      <c r="H16" s="2">
        <f>G16*F16*E16</f>
        <v>72</v>
      </c>
      <c r="I16" s="2" t="s">
        <v>368</v>
      </c>
    </row>
  </sheetData>
  <conditionalFormatting sqref="H2:H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04FD-059E-4327-A5D3-38B1A9027E68}">
  <dimension ref="B1:L41"/>
  <sheetViews>
    <sheetView topLeftCell="A19" zoomScale="85" zoomScaleNormal="85" workbookViewId="0">
      <selection activeCell="E36" sqref="E36"/>
    </sheetView>
  </sheetViews>
  <sheetFormatPr baseColWidth="10" defaultRowHeight="15" x14ac:dyDescent="0.25"/>
  <cols>
    <col min="2" max="2" width="24.85546875" customWidth="1"/>
    <col min="4" max="4" width="14.140625" bestFit="1" customWidth="1"/>
    <col min="5" max="5" width="15.140625" bestFit="1" customWidth="1"/>
    <col min="6" max="6" width="14.140625" bestFit="1" customWidth="1"/>
    <col min="7" max="7" width="42.7109375" customWidth="1"/>
    <col min="8" max="8" width="72.28515625" customWidth="1"/>
    <col min="9" max="9" width="20" customWidth="1"/>
  </cols>
  <sheetData>
    <row r="1" spans="2:8" x14ac:dyDescent="0.25">
      <c r="B1" s="74" t="s">
        <v>67</v>
      </c>
      <c r="C1" s="74" t="s">
        <v>68</v>
      </c>
      <c r="D1" s="74" t="s">
        <v>69</v>
      </c>
      <c r="E1" s="74" t="s">
        <v>70</v>
      </c>
      <c r="F1" s="74" t="s">
        <v>71</v>
      </c>
      <c r="G1" s="74" t="s">
        <v>72</v>
      </c>
      <c r="H1" s="74" t="s">
        <v>73</v>
      </c>
    </row>
    <row r="2" spans="2:8" ht="45" x14ac:dyDescent="0.25">
      <c r="B2" s="2" t="s">
        <v>46</v>
      </c>
      <c r="C2" s="2">
        <v>2</v>
      </c>
      <c r="D2" s="75">
        <v>82392199.849999994</v>
      </c>
      <c r="E2" s="75">
        <f>D2*C2</f>
        <v>164784399.69999999</v>
      </c>
      <c r="F2" s="2" t="s">
        <v>47</v>
      </c>
      <c r="G2" s="2" t="s">
        <v>48</v>
      </c>
      <c r="H2" s="76" t="s">
        <v>49</v>
      </c>
    </row>
    <row r="3" spans="2:8" ht="30" x14ac:dyDescent="0.25">
      <c r="B3" s="2" t="s">
        <v>50</v>
      </c>
      <c r="C3" s="2">
        <v>1</v>
      </c>
      <c r="D3" s="75">
        <v>3996021.69</v>
      </c>
      <c r="E3" s="75">
        <f t="shared" ref="E3:E16" si="0">D3*C3</f>
        <v>3996021.69</v>
      </c>
      <c r="F3" s="2" t="s">
        <v>51</v>
      </c>
      <c r="G3" s="2" t="s">
        <v>52</v>
      </c>
      <c r="H3" s="76" t="s">
        <v>53</v>
      </c>
    </row>
    <row r="4" spans="2:8" ht="30" x14ac:dyDescent="0.25">
      <c r="B4" s="2" t="s">
        <v>56</v>
      </c>
      <c r="C4" s="2">
        <v>1</v>
      </c>
      <c r="D4" s="75">
        <v>31365103.829999998</v>
      </c>
      <c r="E4" s="75">
        <f t="shared" si="0"/>
        <v>31365103.829999998</v>
      </c>
      <c r="F4" s="2" t="s">
        <v>47</v>
      </c>
      <c r="G4" s="2" t="s">
        <v>57</v>
      </c>
      <c r="H4" s="76" t="s">
        <v>58</v>
      </c>
    </row>
    <row r="5" spans="2:8" ht="45" x14ac:dyDescent="0.25">
      <c r="B5" s="2" t="s">
        <v>59</v>
      </c>
      <c r="C5" s="2">
        <v>2</v>
      </c>
      <c r="D5" s="75">
        <v>6179414.9900000002</v>
      </c>
      <c r="E5" s="75">
        <f t="shared" si="0"/>
        <v>12358829.98</v>
      </c>
      <c r="F5" s="2" t="s">
        <v>47</v>
      </c>
      <c r="G5" s="2" t="s">
        <v>60</v>
      </c>
      <c r="H5" s="76" t="s">
        <v>61</v>
      </c>
    </row>
    <row r="6" spans="2:8" ht="30" x14ac:dyDescent="0.25">
      <c r="B6" s="2" t="s">
        <v>62</v>
      </c>
      <c r="C6" s="2">
        <v>1</v>
      </c>
      <c r="D6" s="75">
        <v>7239600</v>
      </c>
      <c r="E6" s="75">
        <f t="shared" si="0"/>
        <v>7239600</v>
      </c>
      <c r="F6" s="2" t="s">
        <v>47</v>
      </c>
      <c r="G6" s="2" t="s">
        <v>81</v>
      </c>
      <c r="H6" s="76" t="s">
        <v>74</v>
      </c>
    </row>
    <row r="7" spans="2:8" ht="51.75" customHeight="1" x14ac:dyDescent="0.25">
      <c r="B7" s="2" t="s">
        <v>75</v>
      </c>
      <c r="C7" s="2">
        <v>1</v>
      </c>
      <c r="D7" s="75">
        <v>519123</v>
      </c>
      <c r="E7" s="75">
        <f t="shared" si="0"/>
        <v>519123</v>
      </c>
      <c r="F7" s="2" t="s">
        <v>66</v>
      </c>
      <c r="G7" s="2" t="s">
        <v>79</v>
      </c>
      <c r="H7" s="76" t="s">
        <v>111</v>
      </c>
    </row>
    <row r="8" spans="2:8" ht="30" x14ac:dyDescent="0.25">
      <c r="B8" s="2" t="s">
        <v>64</v>
      </c>
      <c r="C8" s="2">
        <v>1</v>
      </c>
      <c r="D8" s="75">
        <v>19461600</v>
      </c>
      <c r="E8" s="75">
        <f t="shared" si="0"/>
        <v>19461600</v>
      </c>
      <c r="F8" s="2" t="s">
        <v>47</v>
      </c>
      <c r="G8" s="2" t="s">
        <v>76</v>
      </c>
      <c r="H8" s="76" t="s">
        <v>77</v>
      </c>
    </row>
    <row r="9" spans="2:8" ht="56.25" customHeight="1" x14ac:dyDescent="0.25">
      <c r="B9" s="2" t="s">
        <v>63</v>
      </c>
      <c r="C9" s="2">
        <v>2</v>
      </c>
      <c r="D9" s="75">
        <v>342944</v>
      </c>
      <c r="E9" s="75">
        <f t="shared" si="0"/>
        <v>685888</v>
      </c>
      <c r="F9" s="2" t="s">
        <v>47</v>
      </c>
      <c r="G9" s="2" t="s">
        <v>80</v>
      </c>
      <c r="H9" s="76" t="s">
        <v>78</v>
      </c>
    </row>
    <row r="10" spans="2:8" x14ac:dyDescent="0.25">
      <c r="B10" s="2" t="s">
        <v>65</v>
      </c>
      <c r="C10" s="2">
        <v>1</v>
      </c>
      <c r="D10" s="75">
        <v>20734788</v>
      </c>
      <c r="E10" s="75">
        <f t="shared" si="0"/>
        <v>20734788</v>
      </c>
      <c r="F10" s="2" t="s">
        <v>47</v>
      </c>
      <c r="G10" s="2"/>
      <c r="H10" s="76" t="s">
        <v>115</v>
      </c>
    </row>
    <row r="11" spans="2:8" ht="30" x14ac:dyDescent="0.25">
      <c r="B11" s="2" t="s">
        <v>54</v>
      </c>
      <c r="C11" s="2">
        <v>1</v>
      </c>
      <c r="D11" s="75">
        <v>70000000</v>
      </c>
      <c r="E11" s="75">
        <f t="shared" si="0"/>
        <v>70000000</v>
      </c>
      <c r="F11" s="2" t="s">
        <v>51</v>
      </c>
      <c r="G11" s="2" t="s">
        <v>55</v>
      </c>
      <c r="H11" s="76" t="s">
        <v>89</v>
      </c>
    </row>
    <row r="12" spans="2:8" ht="30" x14ac:dyDescent="0.25">
      <c r="B12" s="2" t="s">
        <v>1</v>
      </c>
      <c r="C12" s="2">
        <v>30</v>
      </c>
      <c r="D12" s="75">
        <v>199900</v>
      </c>
      <c r="E12" s="75">
        <f t="shared" si="0"/>
        <v>5997000</v>
      </c>
      <c r="F12" s="2" t="s">
        <v>47</v>
      </c>
      <c r="G12" s="2"/>
      <c r="H12" s="76" t="s">
        <v>82</v>
      </c>
    </row>
    <row r="13" spans="2:8" ht="30" x14ac:dyDescent="0.25">
      <c r="B13" s="2" t="s">
        <v>25</v>
      </c>
      <c r="C13" s="2">
        <v>13</v>
      </c>
      <c r="D13" s="75">
        <v>5232877</v>
      </c>
      <c r="E13" s="75">
        <f t="shared" si="0"/>
        <v>68027401</v>
      </c>
      <c r="F13" s="2" t="s">
        <v>47</v>
      </c>
      <c r="G13" s="2" t="s">
        <v>83</v>
      </c>
      <c r="H13" s="76" t="s">
        <v>84</v>
      </c>
    </row>
    <row r="14" spans="2:8" ht="27.75" customHeight="1" x14ac:dyDescent="0.25">
      <c r="B14" s="2" t="s">
        <v>26</v>
      </c>
      <c r="C14" s="2">
        <v>12</v>
      </c>
      <c r="D14" s="75">
        <v>399900</v>
      </c>
      <c r="E14" s="75">
        <f t="shared" si="0"/>
        <v>4798800</v>
      </c>
      <c r="F14" s="2" t="s">
        <v>47</v>
      </c>
      <c r="G14" s="2"/>
      <c r="H14" s="76" t="s">
        <v>85</v>
      </c>
    </row>
    <row r="15" spans="2:8" ht="35.25" customHeight="1" x14ac:dyDescent="0.25">
      <c r="B15" s="2" t="s">
        <v>88</v>
      </c>
      <c r="C15" s="2">
        <v>6</v>
      </c>
      <c r="D15" s="75">
        <v>760207</v>
      </c>
      <c r="E15" s="75">
        <f t="shared" si="0"/>
        <v>4561242</v>
      </c>
      <c r="F15" s="2" t="s">
        <v>47</v>
      </c>
      <c r="G15" s="2" t="s">
        <v>86</v>
      </c>
      <c r="H15" s="76" t="s">
        <v>87</v>
      </c>
    </row>
    <row r="16" spans="2:8" ht="75" x14ac:dyDescent="0.25">
      <c r="B16" s="2" t="s">
        <v>28</v>
      </c>
      <c r="C16" s="2">
        <v>6</v>
      </c>
      <c r="D16" s="75">
        <v>572118</v>
      </c>
      <c r="E16" s="75">
        <f t="shared" si="0"/>
        <v>3432708</v>
      </c>
      <c r="F16" s="2" t="s">
        <v>47</v>
      </c>
      <c r="G16" s="2" t="s">
        <v>90</v>
      </c>
      <c r="H16" s="76" t="s">
        <v>91</v>
      </c>
    </row>
    <row r="17" spans="2:11" ht="45" x14ac:dyDescent="0.25">
      <c r="B17" s="2" t="s">
        <v>33</v>
      </c>
      <c r="C17" s="14">
        <v>20</v>
      </c>
      <c r="D17" s="75">
        <v>145000</v>
      </c>
      <c r="E17" s="75">
        <f t="shared" ref="E17:E26" si="1">D17*C17</f>
        <v>2900000</v>
      </c>
      <c r="F17" s="2" t="s">
        <v>47</v>
      </c>
      <c r="G17" s="2"/>
      <c r="H17" s="76" t="s">
        <v>92</v>
      </c>
    </row>
    <row r="18" spans="2:11" ht="90" x14ac:dyDescent="0.25">
      <c r="B18" s="2" t="s">
        <v>93</v>
      </c>
      <c r="C18" s="2">
        <v>32</v>
      </c>
      <c r="D18" s="75">
        <v>347568</v>
      </c>
      <c r="E18" s="75">
        <f t="shared" si="1"/>
        <v>11122176</v>
      </c>
      <c r="F18" s="2" t="s">
        <v>47</v>
      </c>
      <c r="G18" s="2" t="s">
        <v>95</v>
      </c>
      <c r="H18" s="76" t="s">
        <v>94</v>
      </c>
    </row>
    <row r="19" spans="2:11" ht="75.75" customHeight="1" x14ac:dyDescent="0.25">
      <c r="B19" s="2" t="s">
        <v>98</v>
      </c>
      <c r="C19" s="2">
        <v>1</v>
      </c>
      <c r="D19" s="75">
        <f>4589945 + 368900 + 225000</f>
        <v>5183845</v>
      </c>
      <c r="E19" s="75">
        <f t="shared" si="1"/>
        <v>5183845</v>
      </c>
      <c r="F19" s="2" t="s">
        <v>47</v>
      </c>
      <c r="G19" s="2" t="s">
        <v>100</v>
      </c>
      <c r="H19" s="76" t="s">
        <v>99</v>
      </c>
    </row>
    <row r="20" spans="2:11" ht="51.75" customHeight="1" x14ac:dyDescent="0.25">
      <c r="B20" s="2" t="s">
        <v>36</v>
      </c>
      <c r="C20" s="2">
        <v>1</v>
      </c>
      <c r="D20" s="75">
        <v>681380</v>
      </c>
      <c r="E20" s="75">
        <f t="shared" si="1"/>
        <v>681380</v>
      </c>
      <c r="F20" s="2" t="s">
        <v>51</v>
      </c>
      <c r="G20" s="2" t="s">
        <v>107</v>
      </c>
      <c r="H20" s="2" t="s">
        <v>108</v>
      </c>
    </row>
    <row r="21" spans="2:11" ht="30" x14ac:dyDescent="0.25">
      <c r="B21" s="2" t="s">
        <v>38</v>
      </c>
      <c r="C21" s="2">
        <v>1</v>
      </c>
      <c r="D21" s="75">
        <v>2592000</v>
      </c>
      <c r="E21" s="75">
        <f t="shared" si="1"/>
        <v>2592000</v>
      </c>
      <c r="F21" s="2" t="s">
        <v>51</v>
      </c>
      <c r="G21" s="1" t="s">
        <v>101</v>
      </c>
      <c r="H21" s="76" t="s">
        <v>103</v>
      </c>
    </row>
    <row r="22" spans="2:11" ht="30" x14ac:dyDescent="0.25">
      <c r="B22" s="2" t="s">
        <v>39</v>
      </c>
      <c r="C22" s="2">
        <v>1</v>
      </c>
      <c r="D22" s="75">
        <v>910000</v>
      </c>
      <c r="E22" s="75">
        <f t="shared" si="1"/>
        <v>910000</v>
      </c>
      <c r="F22" s="2" t="s">
        <v>51</v>
      </c>
      <c r="G22" s="2" t="s">
        <v>102</v>
      </c>
      <c r="H22" s="76" t="s">
        <v>104</v>
      </c>
    </row>
    <row r="23" spans="2:11" ht="30" x14ac:dyDescent="0.25">
      <c r="B23" s="2" t="s">
        <v>40</v>
      </c>
      <c r="C23" s="2">
        <v>1</v>
      </c>
      <c r="D23" s="75">
        <v>3360000</v>
      </c>
      <c r="E23" s="75">
        <f t="shared" si="1"/>
        <v>3360000</v>
      </c>
      <c r="F23" s="2" t="s">
        <v>51</v>
      </c>
      <c r="G23" s="2" t="s">
        <v>105</v>
      </c>
      <c r="H23" s="76" t="s">
        <v>106</v>
      </c>
    </row>
    <row r="24" spans="2:11" ht="30" x14ac:dyDescent="0.25">
      <c r="B24" s="2" t="s">
        <v>96</v>
      </c>
      <c r="C24" s="2">
        <v>8</v>
      </c>
      <c r="D24" s="75">
        <v>178900</v>
      </c>
      <c r="E24" s="75">
        <f t="shared" si="1"/>
        <v>1431200</v>
      </c>
      <c r="F24" s="2" t="s">
        <v>47</v>
      </c>
      <c r="G24" s="2"/>
      <c r="H24" s="76" t="s">
        <v>97</v>
      </c>
      <c r="K24" s="8"/>
    </row>
    <row r="25" spans="2:11" ht="45" x14ac:dyDescent="0.25">
      <c r="B25" s="2" t="s">
        <v>166</v>
      </c>
      <c r="C25" s="2">
        <v>10</v>
      </c>
      <c r="D25" s="75">
        <v>223904</v>
      </c>
      <c r="E25" s="75">
        <f t="shared" si="1"/>
        <v>2239040</v>
      </c>
      <c r="F25" s="2" t="s">
        <v>47</v>
      </c>
      <c r="G25" s="2" t="s">
        <v>168</v>
      </c>
      <c r="H25" s="76" t="s">
        <v>167</v>
      </c>
      <c r="K25" s="8"/>
    </row>
    <row r="26" spans="2:11" ht="45" x14ac:dyDescent="0.25">
      <c r="B26" s="2" t="s">
        <v>220</v>
      </c>
      <c r="C26" s="2">
        <v>1</v>
      </c>
      <c r="D26" s="75">
        <v>293000</v>
      </c>
      <c r="E26" s="75">
        <f t="shared" si="1"/>
        <v>293000</v>
      </c>
      <c r="F26" s="2" t="s">
        <v>47</v>
      </c>
      <c r="G26" s="2"/>
      <c r="H26" s="76" t="s">
        <v>221</v>
      </c>
      <c r="K26" s="8"/>
    </row>
    <row r="27" spans="2:11" ht="48" customHeight="1" x14ac:dyDescent="0.25">
      <c r="B27" s="2" t="s">
        <v>215</v>
      </c>
      <c r="C27" s="2">
        <v>2</v>
      </c>
      <c r="D27" s="75">
        <v>400700</v>
      </c>
      <c r="E27" s="75">
        <f t="shared" ref="E27" si="2">D27*C27</f>
        <v>801400</v>
      </c>
      <c r="F27" s="2" t="s">
        <v>47</v>
      </c>
      <c r="G27" s="2" t="s">
        <v>225</v>
      </c>
      <c r="H27" s="76" t="s">
        <v>222</v>
      </c>
      <c r="K27" s="8"/>
    </row>
    <row r="28" spans="2:11" ht="30" x14ac:dyDescent="0.25">
      <c r="B28" s="2" t="s">
        <v>223</v>
      </c>
      <c r="C28" s="2">
        <v>1</v>
      </c>
      <c r="D28" s="75">
        <f>D27*3</f>
        <v>1202100</v>
      </c>
      <c r="E28" s="75">
        <f t="shared" ref="E28" si="3">D28*C28</f>
        <v>1202100</v>
      </c>
      <c r="F28" s="2" t="s">
        <v>47</v>
      </c>
      <c r="G28" s="2" t="s">
        <v>226</v>
      </c>
      <c r="H28" s="76" t="s">
        <v>224</v>
      </c>
      <c r="K28" s="8"/>
    </row>
    <row r="29" spans="2:11" ht="45" x14ac:dyDescent="0.25">
      <c r="B29" s="2" t="s">
        <v>228</v>
      </c>
      <c r="C29" s="2">
        <v>50</v>
      </c>
      <c r="D29" s="75">
        <v>8687</v>
      </c>
      <c r="E29" s="75">
        <f>D29*C29</f>
        <v>434350</v>
      </c>
      <c r="F29" s="2" t="s">
        <v>47</v>
      </c>
      <c r="G29" s="2" t="s">
        <v>230</v>
      </c>
      <c r="H29" s="76" t="s">
        <v>229</v>
      </c>
      <c r="K29" s="8"/>
    </row>
    <row r="30" spans="2:11" ht="30" x14ac:dyDescent="0.25">
      <c r="B30" s="2" t="s">
        <v>227</v>
      </c>
      <c r="C30" s="2">
        <v>1</v>
      </c>
      <c r="D30" s="75">
        <v>719545</v>
      </c>
      <c r="E30" s="75">
        <f t="shared" ref="E30" si="4">D30*C30</f>
        <v>719545</v>
      </c>
      <c r="F30" s="2" t="s">
        <v>47</v>
      </c>
      <c r="G30" s="2"/>
      <c r="H30" s="76" t="s">
        <v>231</v>
      </c>
      <c r="K30" s="8"/>
    </row>
    <row r="31" spans="2:11" ht="30" x14ac:dyDescent="0.25">
      <c r="B31" s="2" t="s">
        <v>219</v>
      </c>
      <c r="C31" s="2">
        <v>2</v>
      </c>
      <c r="D31" s="75">
        <v>48178</v>
      </c>
      <c r="E31" s="75">
        <f t="shared" ref="E31" si="5">D31*C31</f>
        <v>96356</v>
      </c>
      <c r="F31" s="2" t="s">
        <v>47</v>
      </c>
      <c r="G31" s="2"/>
      <c r="H31" s="76" t="s">
        <v>232</v>
      </c>
      <c r="K31" s="8"/>
    </row>
    <row r="32" spans="2:11" ht="30" x14ac:dyDescent="0.25">
      <c r="B32" s="2" t="s">
        <v>216</v>
      </c>
      <c r="C32" s="2">
        <v>2</v>
      </c>
      <c r="D32" s="75">
        <v>879500</v>
      </c>
      <c r="E32" s="75">
        <f t="shared" ref="E32" si="6">D32*C32</f>
        <v>1759000</v>
      </c>
      <c r="F32" s="2" t="s">
        <v>47</v>
      </c>
      <c r="G32" s="2"/>
      <c r="H32" s="76" t="s">
        <v>233</v>
      </c>
      <c r="K32" s="8"/>
    </row>
    <row r="33" spans="2:12" ht="30" x14ac:dyDescent="0.25">
      <c r="B33" s="2" t="s">
        <v>217</v>
      </c>
      <c r="C33" s="2">
        <v>1</v>
      </c>
      <c r="D33" s="75">
        <v>6824599</v>
      </c>
      <c r="E33" s="75">
        <f t="shared" ref="E33" si="7">D33*C33</f>
        <v>6824599</v>
      </c>
      <c r="F33" s="2" t="s">
        <v>47</v>
      </c>
      <c r="G33" s="2" t="s">
        <v>234</v>
      </c>
      <c r="H33" s="76" t="s">
        <v>235</v>
      </c>
      <c r="K33" s="8"/>
    </row>
    <row r="34" spans="2:12" ht="30" x14ac:dyDescent="0.25">
      <c r="B34" s="2" t="s">
        <v>218</v>
      </c>
      <c r="C34" s="2">
        <v>1</v>
      </c>
      <c r="D34" s="75">
        <v>1571505</v>
      </c>
      <c r="E34" s="75">
        <f>D34*C34</f>
        <v>1571505</v>
      </c>
      <c r="F34" s="2" t="s">
        <v>47</v>
      </c>
      <c r="G34" s="2" t="s">
        <v>237</v>
      </c>
      <c r="H34" s="76" t="s">
        <v>236</v>
      </c>
      <c r="K34" s="8"/>
    </row>
    <row r="35" spans="2:12" x14ac:dyDescent="0.25">
      <c r="C35" s="102" t="s">
        <v>109</v>
      </c>
      <c r="D35" s="103"/>
      <c r="E35" s="6">
        <f>SUM(E2:E34)</f>
        <v>462084001.19999993</v>
      </c>
      <c r="G35" s="8"/>
      <c r="K35" s="8"/>
      <c r="L35" s="8"/>
    </row>
    <row r="36" spans="2:12" x14ac:dyDescent="0.25">
      <c r="C36" s="10" t="s">
        <v>110</v>
      </c>
      <c r="D36" s="10"/>
      <c r="E36" s="18">
        <f>SUM(E20:E23,E11,E3)</f>
        <v>81539401.689999998</v>
      </c>
      <c r="F36" s="9"/>
      <c r="G36" s="8"/>
      <c r="K36" s="8"/>
    </row>
    <row r="37" spans="2:12" x14ac:dyDescent="0.25">
      <c r="C37" s="10" t="s">
        <v>208</v>
      </c>
      <c r="D37" s="10"/>
      <c r="E37" s="18">
        <f>SUM(E2:E20,E24:E34)</f>
        <v>455222001.19999993</v>
      </c>
      <c r="G37" s="8"/>
      <c r="K37" s="8"/>
    </row>
    <row r="38" spans="2:12" x14ac:dyDescent="0.25">
      <c r="G38" s="8"/>
      <c r="H38" s="8"/>
      <c r="I38" s="8"/>
      <c r="K38" s="8"/>
    </row>
    <row r="39" spans="2:12" x14ac:dyDescent="0.25">
      <c r="G39" s="8"/>
      <c r="K39" s="8"/>
    </row>
    <row r="40" spans="2:12" x14ac:dyDescent="0.25">
      <c r="G40" s="8"/>
      <c r="K40" s="8"/>
    </row>
    <row r="41" spans="2:12" x14ac:dyDescent="0.25">
      <c r="K41" s="8"/>
    </row>
  </sheetData>
  <mergeCells count="1">
    <mergeCell ref="C35:D35"/>
  </mergeCells>
  <phoneticPr fontId="4" type="noConversion"/>
  <hyperlinks>
    <hyperlink ref="H5" r:id="rId1" xr:uid="{EA8E4C6F-E0A4-4ECC-9024-A4FC7DB307D3}"/>
    <hyperlink ref="H4" r:id="rId2" xr:uid="{5682EF8B-F4BF-499C-A264-D459CCEBB7DF}"/>
    <hyperlink ref="H3" r:id="rId3" xr:uid="{0BDD2352-4808-4CD3-837C-14DD2BE6AB3C}"/>
    <hyperlink ref="H2" r:id="rId4" xr:uid="{D5F8C2A8-854D-4D25-914E-7AC1D5003C53}"/>
    <hyperlink ref="H6" r:id="rId5" xr:uid="{4E72D55A-5A8C-4AC0-B9D8-0EE7701F4B20}"/>
    <hyperlink ref="H8" r:id="rId6" xr:uid="{C32AC43A-2434-4791-983E-46FE56101050}"/>
    <hyperlink ref="H10" r:id="rId7" xr:uid="{AF8CD0BF-A844-42A8-9AD3-6A3CF096EC9F}"/>
    <hyperlink ref="H12" r:id="rId8" xr:uid="{DACE665A-59EB-4870-8470-9E8D9C2CB6DB}"/>
    <hyperlink ref="H13" r:id="rId9" xr:uid="{90E9E931-B6E8-4491-BEDA-4E81FFA282FA}"/>
    <hyperlink ref="H14" r:id="rId10" display="https://www.homecenter.com.co/homecenter-co/product/910086/estante-metalico-4-niveles-160x60x183-cm/910086/?kid=goosho_1161562&amp;shop=googleShopping&amp;gad_source=4&amp;gad_campaignid=17622046203&amp;gbraid=0AAAAADt6wnoGBJ9mvAlvsmrd32U6ESwBK&amp;gclid=CjwKCAjwyb3DBhBlEiwAqZLe5Mei8Xd6--_lIAQa77k8zVSk1ctT5qollv-n66OtnBYoxQDTGWLUshoC64UQAvD_BwE" xr:uid="{C0460924-66A1-4A15-8B03-E86395F589BC}"/>
    <hyperlink ref="H15" r:id="rId11" display="https://www.amazon.com/STARWORK-Mechanic-herramientas-mec%C3%A1nicas-profesional/dp/B0DBKT8NCH/ref=asc_df_B093GM4KHL?language=es_US&amp;mcid=bfd935f4e908326d84f43bd15b3af539&amp;tag=cogoshpadde-20&amp;linkCode=df0&amp;hvadid=721997337734&amp;hvpos=&amp;hvnetw=g&amp;hvrand=3766601962167227046&amp;hvpone=&amp;hvptwo=&amp;hvqmt=&amp;hvdev=c&amp;hvdvcmdl=&amp;hvlocint=&amp;hvlocphy=9197987&amp;hvtargid=pla-1650480184027&amp;th=1" xr:uid="{8601D6AE-1722-456F-9C61-CD76897952CF}"/>
    <hyperlink ref="H9" r:id="rId12" display="https://www.amazon.com/Equilibrador-motocicleta-equilibrador-neum%C3%A1ticos-ajustable/dp/B0BQMDMSHV/ref=asc_df_B0BQMDMSHV?language=es_US&amp;mcid=939996adb1ac36a6966a64f4dd839465&amp;tag=cogoshpadde-20&amp;linkCode=df0&amp;hvadid=720493026944&amp;hvpos=&amp;hvnetw=g&amp;hvrand=12017475025927553183&amp;hvpone=&amp;hvptwo=&amp;hvqmt=&amp;hvdev=c&amp;hvdvcmdl=&amp;hvlocint=&amp;hvlocphy=9197987&amp;hvtargid=pla-2244966108614&amp;psc=1&amp;language=es_US" xr:uid="{4619E9FF-9E23-4D45-86D4-BB414C822756}"/>
    <hyperlink ref="H11" r:id="rId13" xr:uid="{375C084F-2265-4F20-95A1-450250FFD74D}"/>
    <hyperlink ref="H16" r:id="rId14" xr:uid="{17D73279-AD20-4686-B4B1-03EE49C6EDCA}"/>
    <hyperlink ref="H17" r:id="rId15" xr:uid="{CD100AEF-8A48-469D-B360-EC07BFA0EF68}"/>
    <hyperlink ref="H18" r:id="rId16" xr:uid="{180BC689-C36A-4772-B265-7034F0ADE73A}"/>
    <hyperlink ref="H24" r:id="rId17" xr:uid="{202E7F8F-93E3-440F-88DB-E6A407A67499}"/>
    <hyperlink ref="H19" r:id="rId18" xr:uid="{D561221F-5166-4200-B7D9-B08965545412}"/>
    <hyperlink ref="H21" r:id="rId19" xr:uid="{0E6DF1DE-F6C9-4063-B4D8-B45FAEE1070A}"/>
    <hyperlink ref="H22" r:id="rId20" xr:uid="{87208131-EA17-4153-8FA9-FE81FE42E782}"/>
    <hyperlink ref="H23" r:id="rId21" xr:uid="{0DA2B165-6E13-4D5E-993B-8824ADBF9C17}"/>
    <hyperlink ref="H7" r:id="rId22" xr:uid="{17AE484B-D0ED-4044-9CDF-F11F23776036}"/>
    <hyperlink ref="H26" r:id="rId23" xr:uid="{5E543246-56DD-43E0-B20C-99C844B4986B}"/>
    <hyperlink ref="H27" r:id="rId24" display="https://www.amazon.com/Sistema-Kit-cerradura-magn%C3%A9tica-el%C3%A9ctrica/dp/B0CW9NRSTP/ref=asc_df_B0CW9NRSTP?language=es_US&amp;mcid=f0d43fac866e3161bc580bfff0eafce5&amp;tag=cogoshpadde-20&amp;linkCode=df0&amp;hvadid=720379347033&amp;hvpos=&amp;hvnetw=g&amp;hvrand=1131601307736899077&amp;hvpone=&amp;hvptwo=&amp;hvqmt=&amp;hvdev=c&amp;hvdvcmdl=&amp;hvlocint=&amp;hvlocphy=9197987&amp;hvtargid=pla-2317631010624&amp;th=1" xr:uid="{6933FEB6-4C69-4812-98E0-AEAE66BC2FFC}"/>
    <hyperlink ref="H28" r:id="rId25" xr:uid="{C5C8AFC1-53EC-4F62-AC61-638F7B5E051D}"/>
    <hyperlink ref="H32" r:id="rId26" xr:uid="{27AE3B04-6C6B-4CF5-BE8B-A04F56FFB166}"/>
    <hyperlink ref="H34" r:id="rId27" xr:uid="{D63EB0E6-BD1F-4A7E-B82D-E3EEB44A1A5E}"/>
  </hyperlinks>
  <pageMargins left="0.7" right="0.7" top="0.75" bottom="0.75" header="0.3" footer="0.3"/>
  <pageSetup paperSize="9" orientation="portrait" horizontalDpi="1200" verticalDpi="1200" r:id="rId2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3AD0-6532-49E4-BFB0-4E19BD974272}">
  <dimension ref="A1:F24"/>
  <sheetViews>
    <sheetView zoomScale="85" zoomScaleNormal="85" workbookViewId="0">
      <selection activeCell="C24" sqref="C24"/>
    </sheetView>
  </sheetViews>
  <sheetFormatPr baseColWidth="10" defaultRowHeight="15" x14ac:dyDescent="0.25"/>
  <cols>
    <col min="2" max="2" width="51.140625" bestFit="1" customWidth="1"/>
    <col min="3" max="3" width="15.28515625" customWidth="1"/>
    <col min="4" max="4" width="32.42578125" customWidth="1"/>
    <col min="5" max="5" width="34.7109375" customWidth="1"/>
    <col min="6" max="6" width="24.5703125" customWidth="1"/>
    <col min="8" max="8" width="14.28515625" customWidth="1"/>
  </cols>
  <sheetData>
    <row r="1" spans="1:6" x14ac:dyDescent="0.25">
      <c r="A1" s="74" t="s">
        <v>23</v>
      </c>
      <c r="B1" s="74" t="s">
        <v>112</v>
      </c>
      <c r="C1" s="74" t="s">
        <v>130</v>
      </c>
      <c r="D1" s="74" t="s">
        <v>72</v>
      </c>
      <c r="E1" s="74" t="s">
        <v>73</v>
      </c>
    </row>
    <row r="2" spans="1:6" ht="51.75" customHeight="1" x14ac:dyDescent="0.25">
      <c r="A2" s="2" t="s">
        <v>3</v>
      </c>
      <c r="B2" s="15" t="s">
        <v>132</v>
      </c>
      <c r="C2" s="12">
        <f>187756/1000</f>
        <v>187.756</v>
      </c>
      <c r="D2" s="5" t="s">
        <v>135</v>
      </c>
      <c r="E2" s="5" t="s">
        <v>129</v>
      </c>
    </row>
    <row r="3" spans="1:6" ht="30" customHeight="1" x14ac:dyDescent="0.25">
      <c r="A3" s="104" t="s">
        <v>4</v>
      </c>
      <c r="B3" s="15" t="s">
        <v>113</v>
      </c>
      <c r="C3" s="12">
        <v>119970</v>
      </c>
      <c r="D3" s="5" t="s">
        <v>159</v>
      </c>
      <c r="E3" s="7" t="s">
        <v>158</v>
      </c>
    </row>
    <row r="4" spans="1:6" ht="30" customHeight="1" x14ac:dyDescent="0.25">
      <c r="A4" s="104"/>
      <c r="B4" s="15" t="s">
        <v>114</v>
      </c>
      <c r="C4" s="12">
        <v>2235590</v>
      </c>
      <c r="D4" s="5" t="s">
        <v>144</v>
      </c>
      <c r="E4" s="7" t="s">
        <v>143</v>
      </c>
    </row>
    <row r="5" spans="1:6" ht="20.25" customHeight="1" x14ac:dyDescent="0.25">
      <c r="A5" s="104" t="s">
        <v>5</v>
      </c>
      <c r="B5" s="15" t="s">
        <v>116</v>
      </c>
      <c r="C5" s="12">
        <v>75767</v>
      </c>
      <c r="D5" s="5"/>
      <c r="E5" s="7" t="s">
        <v>138</v>
      </c>
    </row>
    <row r="6" spans="1:6" ht="20.25" customHeight="1" x14ac:dyDescent="0.25">
      <c r="A6" s="104"/>
      <c r="B6" s="15" t="s">
        <v>5</v>
      </c>
      <c r="C6" s="12">
        <v>1760000</v>
      </c>
      <c r="D6" s="5"/>
      <c r="E6" s="7" t="s">
        <v>137</v>
      </c>
    </row>
    <row r="7" spans="1:6" ht="30" customHeight="1" x14ac:dyDescent="0.25">
      <c r="A7" s="104"/>
      <c r="B7" s="15" t="s">
        <v>117</v>
      </c>
      <c r="C7" s="12">
        <v>67983</v>
      </c>
      <c r="D7" s="5" t="s">
        <v>157</v>
      </c>
      <c r="E7" s="5" t="s">
        <v>131</v>
      </c>
    </row>
    <row r="8" spans="1:6" ht="20.25" customHeight="1" x14ac:dyDescent="0.25">
      <c r="A8" s="104" t="s">
        <v>6</v>
      </c>
      <c r="B8" s="15" t="s">
        <v>118</v>
      </c>
      <c r="C8" s="12">
        <v>476000</v>
      </c>
      <c r="D8" s="5"/>
      <c r="E8" s="7" t="s">
        <v>162</v>
      </c>
    </row>
    <row r="9" spans="1:6" ht="30" customHeight="1" x14ac:dyDescent="0.25">
      <c r="A9" s="104"/>
      <c r="B9" s="15" t="s">
        <v>163</v>
      </c>
      <c r="C9" s="12">
        <v>824133</v>
      </c>
      <c r="D9" s="5" t="s">
        <v>165</v>
      </c>
      <c r="E9" s="7" t="s">
        <v>164</v>
      </c>
    </row>
    <row r="10" spans="1:6" ht="20.25" customHeight="1" x14ac:dyDescent="0.25">
      <c r="A10" s="104"/>
      <c r="B10" s="15" t="s">
        <v>139</v>
      </c>
      <c r="C10" s="12">
        <f>2*279810</f>
        <v>559620</v>
      </c>
      <c r="D10" s="5" t="s">
        <v>146</v>
      </c>
      <c r="E10" s="16" t="s">
        <v>141</v>
      </c>
    </row>
    <row r="11" spans="1:6" ht="20.25" customHeight="1" x14ac:dyDescent="0.25">
      <c r="A11" s="104"/>
      <c r="B11" s="15" t="s">
        <v>140</v>
      </c>
      <c r="C11" s="12">
        <f>2*297000</f>
        <v>594000</v>
      </c>
      <c r="D11" s="5" t="s">
        <v>145</v>
      </c>
      <c r="E11" s="7" t="s">
        <v>142</v>
      </c>
      <c r="F11" s="10" t="s">
        <v>169</v>
      </c>
    </row>
    <row r="12" spans="1:6" ht="64.5" customHeight="1" x14ac:dyDescent="0.25">
      <c r="A12" s="2" t="s">
        <v>7</v>
      </c>
      <c r="B12" s="15" t="s">
        <v>7</v>
      </c>
      <c r="C12" s="12">
        <v>675791</v>
      </c>
      <c r="D12" s="5" t="s">
        <v>136</v>
      </c>
      <c r="E12" s="7" t="s">
        <v>133</v>
      </c>
      <c r="F12" s="4" t="s">
        <v>134</v>
      </c>
    </row>
    <row r="13" spans="1:6" ht="20.25" customHeight="1" x14ac:dyDescent="0.25">
      <c r="A13" s="104" t="s">
        <v>8</v>
      </c>
      <c r="B13" s="15" t="s">
        <v>119</v>
      </c>
      <c r="C13" s="12">
        <v>1214300</v>
      </c>
      <c r="E13" s="5" t="s">
        <v>147</v>
      </c>
    </row>
    <row r="14" spans="1:6" ht="20.25" customHeight="1" x14ac:dyDescent="0.25">
      <c r="A14" s="104"/>
      <c r="B14" s="15" t="s">
        <v>160</v>
      </c>
      <c r="C14" s="12">
        <f>204308*2</f>
        <v>408616</v>
      </c>
      <c r="D14" s="5"/>
      <c r="E14" s="7" t="s">
        <v>161</v>
      </c>
    </row>
    <row r="15" spans="1:6" ht="20.25" customHeight="1" x14ac:dyDescent="0.25">
      <c r="A15" s="104" t="s">
        <v>9</v>
      </c>
      <c r="B15" s="15" t="s">
        <v>120</v>
      </c>
      <c r="C15" s="12">
        <v>155907</v>
      </c>
      <c r="D15" s="5"/>
      <c r="E15" s="7" t="s">
        <v>154</v>
      </c>
    </row>
    <row r="16" spans="1:6" ht="20.25" customHeight="1" x14ac:dyDescent="0.25">
      <c r="A16" s="104"/>
      <c r="B16" s="15" t="s">
        <v>121</v>
      </c>
      <c r="C16" s="12">
        <v>60437</v>
      </c>
      <c r="D16" s="5"/>
      <c r="E16" s="7" t="s">
        <v>155</v>
      </c>
    </row>
    <row r="17" spans="1:5" ht="20.25" customHeight="1" x14ac:dyDescent="0.25">
      <c r="A17" s="104"/>
      <c r="B17" s="15" t="s">
        <v>122</v>
      </c>
      <c r="C17" s="12">
        <v>54275</v>
      </c>
      <c r="D17" s="5"/>
      <c r="E17" s="7" t="s">
        <v>153</v>
      </c>
    </row>
    <row r="18" spans="1:5" ht="20.25" customHeight="1" x14ac:dyDescent="0.25">
      <c r="A18" s="104"/>
      <c r="B18" s="15" t="s">
        <v>123</v>
      </c>
      <c r="C18" s="12">
        <v>318440</v>
      </c>
      <c r="D18" s="5"/>
      <c r="E18" s="7" t="s">
        <v>156</v>
      </c>
    </row>
    <row r="19" spans="1:5" ht="20.25" customHeight="1" x14ac:dyDescent="0.25">
      <c r="A19" s="104" t="s">
        <v>10</v>
      </c>
      <c r="B19" s="15" t="s">
        <v>124</v>
      </c>
      <c r="C19" s="12">
        <v>148000</v>
      </c>
      <c r="E19" s="7" t="s">
        <v>148</v>
      </c>
    </row>
    <row r="20" spans="1:5" ht="20.25" customHeight="1" x14ac:dyDescent="0.25">
      <c r="A20" s="104"/>
      <c r="B20" s="15" t="s">
        <v>125</v>
      </c>
      <c r="C20" s="12">
        <v>379900</v>
      </c>
      <c r="D20" s="5"/>
      <c r="E20" s="7" t="s">
        <v>149</v>
      </c>
    </row>
    <row r="21" spans="1:5" ht="20.25" customHeight="1" x14ac:dyDescent="0.25">
      <c r="A21" s="104"/>
      <c r="B21" s="15" t="s">
        <v>126</v>
      </c>
      <c r="C21" s="12">
        <v>114986</v>
      </c>
      <c r="D21" s="5"/>
      <c r="E21" s="7" t="s">
        <v>152</v>
      </c>
    </row>
    <row r="22" spans="1:5" ht="20.25" customHeight="1" x14ac:dyDescent="0.25">
      <c r="A22" s="104"/>
      <c r="B22" s="15" t="s">
        <v>127</v>
      </c>
      <c r="C22" s="12">
        <v>32000</v>
      </c>
      <c r="D22" s="5"/>
      <c r="E22" s="7" t="s">
        <v>150</v>
      </c>
    </row>
    <row r="23" spans="1:5" ht="30" customHeight="1" x14ac:dyDescent="0.25">
      <c r="A23" s="2" t="s">
        <v>11</v>
      </c>
      <c r="B23" s="15" t="s">
        <v>128</v>
      </c>
      <c r="C23" s="12">
        <v>30000</v>
      </c>
      <c r="D23" s="5"/>
      <c r="E23" s="7" t="s">
        <v>151</v>
      </c>
    </row>
    <row r="24" spans="1:5" x14ac:dyDescent="0.25">
      <c r="B24" s="15" t="s">
        <v>200</v>
      </c>
      <c r="C24" s="17">
        <f>SUM(C2:C23)</f>
        <v>10305902.756000001</v>
      </c>
    </row>
  </sheetData>
  <mergeCells count="6">
    <mergeCell ref="A19:A22"/>
    <mergeCell ref="A3:A4"/>
    <mergeCell ref="A5:A7"/>
    <mergeCell ref="A8:A11"/>
    <mergeCell ref="A13:A14"/>
    <mergeCell ref="A15:A18"/>
  </mergeCells>
  <phoneticPr fontId="4" type="noConversion"/>
  <hyperlinks>
    <hyperlink ref="E12" r:id="rId1" xr:uid="{1B3A8151-5581-4B24-B496-7248B9799609}"/>
    <hyperlink ref="E5" r:id="rId2" xr:uid="{1A473100-863A-4F97-A33D-6BDA8137B1C0}"/>
    <hyperlink ref="E10" r:id="rId3" xr:uid="{4244D3AA-9053-47A9-BFC7-CD3CDE189FE0}"/>
    <hyperlink ref="E11" r:id="rId4" location="polycard_client=search-nordic&amp;position=28&amp;search_layout=stack&amp;type=item&amp;tracking_id=15a52d9b-f64e-4aad-92d1-c0bf2949fde7&amp;wid=MCO603978543&amp;sid=search" xr:uid="{938049FB-17C2-4EC6-A346-0657A80E128B}"/>
    <hyperlink ref="E4" r:id="rId5" display="https://www.ebay.com/itm/235739789900?itmmeta=01K00MCWVTVVVRVN761CRJ74SS&amp;hash=item36e32fba4c:g:RB0AAOSwyYlYm62o&amp;itmprp=enc%3AAQAKAAAA4MHg7L1Zz0LA5DYYmRTS30mZ10ACF28iXbXFvega4h6MBGKTuxawjoE2DiPQ%2BWtSfrOFip9N%2Fvy4tmrfIKxZxypBq5SkDtnIN5zlHb2YWFOXrT48gWxzCaiNy9c1RjkuV2JGFScKVXshresfvPlCfMfrlbCALNH79DkcRfJ3RMZ0ugyw3N4tMuA53opX3R5JTZzN7s%2B7JFo2FgYW6G6KGA7xGl04%2FGLCEWEKM0Vr7eD1BJlkRaV5xl%2FF7phECYaQ1V4LlpkZ7WnjD9fTInXlIPwmGh09PcmVL%2BgcGOiWQ0XA%7Ctkp%3ABFBMhM6zlIBm" xr:uid="{0B0FE23F-14BD-4F26-A4C6-486E056B6EF3}"/>
    <hyperlink ref="E20" r:id="rId6" location="polycard_client=search-nordic&amp;searchVariation=186604642937&amp;position=14&amp;search_layout=stack&amp;type=item&amp;tracking_id=36ee0396-cd4a-4d09-9406-e0fef2183bc5" display="https://articulo.mercadolibre.com.co/MCO-2370704922-kit-plastico-xtz-150-tapas-tanque-guardabarro-carenaje-calca-_JM?searchVariation=186604642937#polycard_client=search-nordic&amp;searchVariation=186604642937&amp;position=14&amp;search_layout=stack&amp;type=item&amp;tracking_id=36ee0396-cd4a-4d09-9406-e0fef2183bc5" xr:uid="{1C729221-80E7-468D-9E7D-B8F0E87F8440}"/>
    <hyperlink ref="E22" r:id="rId7" location="polycard_client=search-nordic&amp;searchVariation=183493421507&amp;position=19&amp;search_layout=stack&amp;type=item&amp;tracking_id=6f182d53-0d8d-49d1-8015-54eac309c1e6" display="https://articulo.mercadolibre.com.co/MCO-1447226855-yamaha-calcomanias-stickers-adhesivo-kit-x-14-unidades-_JM?searchVariation=183493421507#polycard_client=search-nordic&amp;searchVariation=183493421507&amp;position=19&amp;search_layout=stack&amp;type=item&amp;tracking_id=6f182d53-0d8d-49d1-8015-54eac309c1e6" xr:uid="{80813814-D6C9-4CFC-A04A-A574D3D389E6}"/>
    <hyperlink ref="E23" r:id="rId8" location="polycard_client=search-nordic&amp;searchVariation=180158299131&amp;position=30&amp;search_layout=stack&amp;type=item&amp;tracking_id=bbcac9d0-b289-4103-abec-a8ad88055442" display="https://articulo.mercadolibre.com.co/MCO-1941517830-porta-placa-suzuki-en-acero-inoxidable-logo-en-3d-_JM?searchVariation=180158299131#polycard_client=search-nordic&amp;searchVariation=180158299131&amp;position=30&amp;search_layout=stack&amp;type=item&amp;tracking_id=bbcac9d0-b289-4103-abec-a8ad88055442" xr:uid="{2A572588-4558-4DBC-98DC-3870E8D26EFB}"/>
    <hyperlink ref="E21" r:id="rId9" location="polycard_client=search-nordic&amp;position=18&amp;search_layout=stack&amp;type=item&amp;tracking_id=0ca75645-4f85-4c5d-b35e-01f0e1b7430b" xr:uid="{C18ADDF2-FE86-4848-8B0E-FED0DF53A94D}"/>
    <hyperlink ref="E17" r:id="rId10" location="polycard_client=search-nordic&amp;searchVariation=MCO2005426227&amp;position=15&amp;search_layout=stack&amp;type=product&amp;tracking_id=9fc591e5-db20-4e3a-bb88-255eb28226bd&amp;wid=MCO1506880281&amp;sid=search" display="https://www.mercadolibre.com.co/direccional-x4-und-led-yamaha-xtz250-xtz150-mt15-fz16/p/MCO2005426227?pdp_filters=SHIPPING_ORIGIN%3A10215069#polycard_client=search-nordic&amp;searchVariation=MCO2005426227&amp;position=15&amp;search_layout=stack&amp;type=product&amp;tracking_id=9fc591e5-db20-4e3a-bb88-255eb28226bd&amp;wid=MCO1506880281&amp;sid=search" xr:uid="{6DAA1159-2F4A-4181-B13A-82D728410346}"/>
    <hyperlink ref="E19" r:id="rId11" location="is_advertising=true&amp;searchVariation=183215748284&amp;backend_model=search-backend&amp;position=2&amp;search_layout=stack&amp;type=pad&amp;tracking_id=da8c5af3-f911-4305-88a8-954141b67971&amp;is_advertising=true&amp;ad_domain=VQCATCORE_LST&amp;ad_position=2&amp;ad_click_id=N2E0N2MzZTgtYzI0Zi00NDdkLWIzZTMtMTE3YWI5NmIxZDhk" display="https://articulo.mercadolibre.com.co/MCO-1560643879-cojin-silla-moto-akt-ttr-150-200-ttds-200-rally-forro-viaje-_JM?searchVariation=183215748284#is_advertising=true&amp;searchVariation=183215748284&amp;backend_model=search-backend&amp;position=2&amp;search_layout=stack&amp;type=pad&amp;tracking_id=da8c5af3-f911-4305-88a8-954141b67971&amp;is_advertising=true&amp;ad_domain=VQCATCORE_LST&amp;ad_position=2&amp;ad_click_id=N2E0N2MzZTgtYzI0Zi00NDdkLWIzZTMtMTE3YWI5NmIxZDhk" xr:uid="{040E7260-DB8F-4BF2-9794-2E9CDFD5F12F}"/>
    <hyperlink ref="E15" r:id="rId12" location="polycard_client=recommendations_pdp-pads-up&amp;reco_backend=pdp_pads_up_merge_rankent_v3_retsys&amp;reco_client=pdp-pads-up&amp;reco_item_pos=0&amp;reco_backend_type=low_level&amp;reco_id=2bbab80c-cdb2-41e2-a47c-39354ae6858d&amp;wid=MCO2838630632&amp;sid=recos&amp;is_advertising=true&amp;ad_domain=PDPDESKTOP_UP&amp;ad_position=1&amp;ad_click_id=YmZmZTMxZmEtNzAzOC00ZTExLWJiMWEtNDk5NmUzZjg1ODNk" display="https://articulo.mercadolibre.com.co/MCO-2838630632-farola-delantera-completa-para-bajaj-pulsar-ns200-negro-mtc-_JM#polycard_client=recommendations_pdp-pads-up&amp;reco_backend=pdp_pads_up_merge_rankent_v3_retsys&amp;reco_client=pdp-pads-up&amp;reco_item_pos=0&amp;reco_backend_type=low_level&amp;reco_id=2bbab80c-cdb2-41e2-a47c-39354ae6858d&amp;wid=MCO2838630632&amp;sid=recos&amp;is_advertising=true&amp;ad_domain=PDPDESKTOP_UP&amp;ad_position=1&amp;ad_click_id=YmZmZTMxZmEtNzAzOC00ZTExLWJiMWEtNDk5NmUzZjg1ODNk" xr:uid="{2B7053E9-4F7A-4676-A771-D339BA34A298}"/>
    <hyperlink ref="E16" r:id="rId13" location="polycard_client=search-nordic&amp;searchVariation=175562318431&amp;backend_model=search-backend&amp;position=5&amp;search_layout=stack&amp;type=item&amp;tracking_id=c912b5b8-a2ca-46fe-8112-cf1167cdb6c9" display="https://articulo.mercadolibre.com.co/MCO-1013537730-stop-trasero-pulsar-ns-200150-as200-tipo-original-_JM?searchVariation=175562318431#polycard_client=search-nordic&amp;searchVariation=175562318431&amp;backend_model=search-backend&amp;position=5&amp;search_layout=stack&amp;type=item&amp;tracking_id=c912b5b8-a2ca-46fe-8112-cf1167cdb6c9" xr:uid="{6BDD5D7A-E178-45C1-982E-7C881DB43E62}"/>
    <hyperlink ref="E18" r:id="rId14" xr:uid="{EFE6D7A0-41CB-40B6-B863-5F0DB67BD466}"/>
    <hyperlink ref="E6" r:id="rId15" xr:uid="{BFF4CC53-A4EF-4414-B338-813FE92CC341}"/>
    <hyperlink ref="E3" r:id="rId16" xr:uid="{536F9887-3054-460F-BD3C-B6AE90FD7790}"/>
    <hyperlink ref="E14" r:id="rId17" location="polycard_client=search-nordic&amp;position=23&amp;search_layout=stack&amp;type=item&amp;tracking_id=93d6742d-ceaa-4f83-a9ae-17e1bac6def9&amp;wid=MCO541538773&amp;sid=search" display="https://articulo.mercadolibre.com.co/MCO-541538773-monoshock-amortiguador-para-pulsar-ns-200-endurance-original-_JM#polycard_client=search-nordic&amp;position=23&amp;search_layout=stack&amp;type=item&amp;tracking_id=93d6742d-ceaa-4f83-a9ae-17e1bac6def9&amp;wid=MCO541538773&amp;sid=search" xr:uid="{8AA5C120-B167-444A-8ACE-3F2B96C48749}"/>
    <hyperlink ref="E8" r:id="rId18" xr:uid="{2DF1FD63-7528-4D78-A8A5-D56F90BF99B4}"/>
    <hyperlink ref="E9" r:id="rId19" xr:uid="{B45BF3ED-9140-4776-95A5-21EBC72EBF8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0CFD-B7FA-4616-857C-61E03529A9C7}">
  <dimension ref="B3:I33"/>
  <sheetViews>
    <sheetView topLeftCell="B3" zoomScaleNormal="100" workbookViewId="0">
      <selection activeCell="K5" sqref="K5"/>
    </sheetView>
  </sheetViews>
  <sheetFormatPr baseColWidth="10" defaultRowHeight="15" x14ac:dyDescent="0.25"/>
  <cols>
    <col min="2" max="2" width="22.5703125" customWidth="1"/>
    <col min="3" max="3" width="18.5703125" customWidth="1"/>
    <col min="4" max="4" width="7.28515625" customWidth="1"/>
    <col min="5" max="5" width="22.140625" bestFit="1" customWidth="1"/>
    <col min="6" max="6" width="15.5703125" bestFit="1" customWidth="1"/>
    <col min="7" max="7" width="4.85546875" customWidth="1"/>
    <col min="8" max="8" width="22.140625" bestFit="1" customWidth="1"/>
    <col min="9" max="9" width="15.5703125" bestFit="1" customWidth="1"/>
  </cols>
  <sheetData>
    <row r="3" spans="2:9" x14ac:dyDescent="0.25">
      <c r="B3" s="105" t="s">
        <v>199</v>
      </c>
      <c r="C3" s="105"/>
      <c r="E3" s="105" t="s">
        <v>198</v>
      </c>
      <c r="F3" s="105"/>
      <c r="H3" s="105" t="s">
        <v>197</v>
      </c>
      <c r="I3" s="105"/>
    </row>
    <row r="4" spans="2:9" x14ac:dyDescent="0.25">
      <c r="B4" s="10" t="s">
        <v>170</v>
      </c>
      <c r="C4" s="10">
        <v>24</v>
      </c>
      <c r="E4" s="10" t="s">
        <v>170</v>
      </c>
      <c r="F4" s="10">
        <v>6</v>
      </c>
      <c r="H4" s="10" t="s">
        <v>170</v>
      </c>
      <c r="I4" s="10">
        <v>2</v>
      </c>
    </row>
    <row r="5" spans="2:9" x14ac:dyDescent="0.25">
      <c r="B5" s="10" t="s">
        <v>171</v>
      </c>
      <c r="C5" s="10">
        <v>9</v>
      </c>
      <c r="E5" s="10" t="s">
        <v>171</v>
      </c>
      <c r="F5" s="10">
        <v>9</v>
      </c>
      <c r="H5" s="10" t="s">
        <v>171</v>
      </c>
      <c r="I5" s="10">
        <v>9</v>
      </c>
    </row>
    <row r="6" spans="2:9" x14ac:dyDescent="0.25">
      <c r="B6" s="10" t="s">
        <v>172</v>
      </c>
      <c r="C6" s="10">
        <v>30</v>
      </c>
      <c r="E6" s="10" t="s">
        <v>172</v>
      </c>
      <c r="F6" s="10">
        <v>30</v>
      </c>
      <c r="H6" s="10" t="s">
        <v>172</v>
      </c>
      <c r="I6" s="10">
        <v>30</v>
      </c>
    </row>
    <row r="7" spans="2:9" x14ac:dyDescent="0.25">
      <c r="B7" s="10" t="s">
        <v>173</v>
      </c>
      <c r="C7" s="11">
        <v>1423500</v>
      </c>
      <c r="E7" s="10" t="s">
        <v>173</v>
      </c>
      <c r="F7" s="11">
        <f>1423500*1.2</f>
        <v>1708200</v>
      </c>
      <c r="H7" s="10" t="s">
        <v>173</v>
      </c>
      <c r="I7" s="11">
        <f>1423500*2</f>
        <v>2847000</v>
      </c>
    </row>
    <row r="8" spans="2:9" x14ac:dyDescent="0.25">
      <c r="B8" s="10" t="s">
        <v>174</v>
      </c>
      <c r="C8" s="18">
        <v>200000</v>
      </c>
      <c r="E8" s="10" t="s">
        <v>174</v>
      </c>
      <c r="F8" s="18">
        <v>200000</v>
      </c>
      <c r="H8" s="10" t="s">
        <v>174</v>
      </c>
      <c r="I8" s="18">
        <v>200000</v>
      </c>
    </row>
    <row r="9" spans="2:9" x14ac:dyDescent="0.25">
      <c r="B9" s="10" t="s">
        <v>175</v>
      </c>
      <c r="C9" s="18">
        <f>$C$7*4%</f>
        <v>56940</v>
      </c>
      <c r="E9" s="10" t="s">
        <v>175</v>
      </c>
      <c r="F9" s="18">
        <f>$F$7*4%</f>
        <v>68328</v>
      </c>
      <c r="H9" s="10" t="s">
        <v>175</v>
      </c>
      <c r="I9" s="18">
        <f>$I$7*4%</f>
        <v>113880</v>
      </c>
    </row>
    <row r="10" spans="2:9" x14ac:dyDescent="0.25">
      <c r="B10" s="10" t="s">
        <v>176</v>
      </c>
      <c r="C10" s="18">
        <f>$C$7*4%</f>
        <v>56940</v>
      </c>
      <c r="E10" s="10" t="s">
        <v>176</v>
      </c>
      <c r="F10" s="18">
        <f>$F$7*4%</f>
        <v>68328</v>
      </c>
      <c r="H10" s="10" t="s">
        <v>176</v>
      </c>
      <c r="I10" s="18">
        <f>$I$7*4%</f>
        <v>113880</v>
      </c>
    </row>
    <row r="11" spans="2:9" x14ac:dyDescent="0.25">
      <c r="B11" s="10" t="s">
        <v>177</v>
      </c>
      <c r="C11" s="18">
        <v>0</v>
      </c>
      <c r="E11" s="10" t="s">
        <v>177</v>
      </c>
      <c r="F11" s="18">
        <v>0</v>
      </c>
      <c r="H11" s="10" t="s">
        <v>177</v>
      </c>
      <c r="I11" s="18">
        <v>0</v>
      </c>
    </row>
    <row r="12" spans="2:9" x14ac:dyDescent="0.25">
      <c r="B12" s="10" t="s">
        <v>178</v>
      </c>
      <c r="C12" s="18">
        <f>C7/(C6*C5)</f>
        <v>5272.2222222222226</v>
      </c>
      <c r="E12" s="10" t="s">
        <v>178</v>
      </c>
      <c r="F12" s="18">
        <f>F7/(F6*F5)</f>
        <v>6326.666666666667</v>
      </c>
      <c r="H12" s="10" t="s">
        <v>178</v>
      </c>
      <c r="I12" s="18">
        <f>I7/(I6*I5)</f>
        <v>10544.444444444445</v>
      </c>
    </row>
    <row r="13" spans="2:9" x14ac:dyDescent="0.25">
      <c r="B13" s="10" t="s">
        <v>179</v>
      </c>
      <c r="C13" s="10">
        <v>0</v>
      </c>
      <c r="E13" s="10" t="s">
        <v>179</v>
      </c>
      <c r="F13" s="10">
        <v>0</v>
      </c>
      <c r="H13" s="10" t="s">
        <v>179</v>
      </c>
      <c r="I13" s="10">
        <v>0</v>
      </c>
    </row>
    <row r="14" spans="2:9" x14ac:dyDescent="0.25">
      <c r="B14" s="10" t="s">
        <v>180</v>
      </c>
      <c r="C14" s="10">
        <v>0</v>
      </c>
      <c r="E14" s="10" t="s">
        <v>180</v>
      </c>
      <c r="F14" s="10">
        <v>0</v>
      </c>
      <c r="H14" s="10" t="s">
        <v>180</v>
      </c>
      <c r="I14" s="10">
        <v>0</v>
      </c>
    </row>
    <row r="15" spans="2:9" x14ac:dyDescent="0.25">
      <c r="B15" s="10" t="s">
        <v>181</v>
      </c>
      <c r="C15" s="10">
        <v>0</v>
      </c>
      <c r="E15" s="10" t="s">
        <v>181</v>
      </c>
      <c r="F15" s="10">
        <v>0</v>
      </c>
      <c r="H15" s="10" t="s">
        <v>181</v>
      </c>
      <c r="I15" s="10">
        <v>0</v>
      </c>
    </row>
    <row r="16" spans="2:9" x14ac:dyDescent="0.25">
      <c r="B16" s="10" t="s">
        <v>182</v>
      </c>
      <c r="C16" s="10">
        <v>0</v>
      </c>
      <c r="E16" s="10" t="s">
        <v>182</v>
      </c>
      <c r="F16" s="10">
        <v>0</v>
      </c>
      <c r="H16" s="10" t="s">
        <v>182</v>
      </c>
      <c r="I16" s="10">
        <v>0</v>
      </c>
    </row>
    <row r="17" spans="2:9" x14ac:dyDescent="0.25">
      <c r="B17" s="10" t="s">
        <v>183</v>
      </c>
      <c r="C17" s="17">
        <f>C7+C8-C9-C10-C11+SUM(C13:C16)</f>
        <v>1509620</v>
      </c>
      <c r="E17" s="10" t="s">
        <v>183</v>
      </c>
      <c r="F17" s="17">
        <f>F7+F8-F9-F10-F11+SUM(F13:F16)</f>
        <v>1771544</v>
      </c>
      <c r="H17" s="10" t="s">
        <v>183</v>
      </c>
      <c r="I17" s="17">
        <f>I7+I8-I9-I10-I11+SUM(I13:I16)</f>
        <v>2819240</v>
      </c>
    </row>
    <row r="19" spans="2:9" x14ac:dyDescent="0.25">
      <c r="B19" s="10" t="s">
        <v>184</v>
      </c>
      <c r="C19" s="17">
        <f>C17*C4</f>
        <v>36230880</v>
      </c>
      <c r="E19" s="10" t="s">
        <v>184</v>
      </c>
      <c r="F19" s="17">
        <f>F17*F4</f>
        <v>10629264</v>
      </c>
      <c r="H19" s="10" t="s">
        <v>184</v>
      </c>
      <c r="I19" s="17">
        <f>I17*I4</f>
        <v>5638480</v>
      </c>
    </row>
    <row r="20" spans="2:9" x14ac:dyDescent="0.25">
      <c r="B20" s="10" t="s">
        <v>185</v>
      </c>
      <c r="C20" s="18">
        <f>C8*C4</f>
        <v>4800000</v>
      </c>
      <c r="E20" s="10" t="s">
        <v>185</v>
      </c>
      <c r="F20" s="18">
        <f>F8*F4</f>
        <v>1200000</v>
      </c>
      <c r="H20" s="10" t="s">
        <v>185</v>
      </c>
      <c r="I20" s="18">
        <f>I8*I4</f>
        <v>400000</v>
      </c>
    </row>
    <row r="21" spans="2:9" x14ac:dyDescent="0.25">
      <c r="B21" s="10" t="s">
        <v>175</v>
      </c>
      <c r="C21" s="18">
        <f>($C$19-$C$20)*8.5%</f>
        <v>2671624.8000000003</v>
      </c>
      <c r="E21" s="10" t="s">
        <v>175</v>
      </c>
      <c r="F21" s="18">
        <f>($F$19-$F$20)*8.5%</f>
        <v>801487.44000000006</v>
      </c>
      <c r="H21" s="10" t="s">
        <v>175</v>
      </c>
      <c r="I21" s="18">
        <f>($I$19-$I$20)*8.5%</f>
        <v>445270.80000000005</v>
      </c>
    </row>
    <row r="22" spans="2:9" x14ac:dyDescent="0.25">
      <c r="B22" s="10" t="s">
        <v>186</v>
      </c>
      <c r="C22" s="18">
        <f>($C$19-$C$20)*12%</f>
        <v>3771705.6</v>
      </c>
      <c r="E22" s="10" t="s">
        <v>186</v>
      </c>
      <c r="F22" s="18">
        <f>($F$19-$F$20)*12%</f>
        <v>1131511.68</v>
      </c>
      <c r="H22" s="10" t="s">
        <v>186</v>
      </c>
      <c r="I22" s="18">
        <f>($I$19-$I$20)*12%</f>
        <v>628617.6</v>
      </c>
    </row>
    <row r="23" spans="2:9" x14ac:dyDescent="0.25">
      <c r="B23" s="10" t="s">
        <v>187</v>
      </c>
      <c r="C23" s="18">
        <f>($C$19-$C$20)*0.522%</f>
        <v>164069.1936</v>
      </c>
      <c r="E23" s="10" t="s">
        <v>187</v>
      </c>
      <c r="F23" s="18">
        <f>($F$19-$F$20)*0.522%</f>
        <v>49220.75808</v>
      </c>
      <c r="H23" s="10" t="s">
        <v>187</v>
      </c>
      <c r="I23" s="18">
        <f>($I$19-$I$20)*0.522%</f>
        <v>27344.865599999997</v>
      </c>
    </row>
    <row r="24" spans="2:9" x14ac:dyDescent="0.25">
      <c r="B24" s="10" t="s">
        <v>188</v>
      </c>
      <c r="C24" s="18">
        <f>$C$19*8.33%</f>
        <v>3018032.304</v>
      </c>
      <c r="E24" s="10" t="s">
        <v>188</v>
      </c>
      <c r="F24" s="18">
        <f>$F$19*8.33%</f>
        <v>885417.6912</v>
      </c>
      <c r="H24" s="10" t="s">
        <v>188</v>
      </c>
      <c r="I24" s="18">
        <f>$I$19*8.33%</f>
        <v>469685.38400000002</v>
      </c>
    </row>
    <row r="25" spans="2:9" x14ac:dyDescent="0.25">
      <c r="B25" s="10" t="s">
        <v>189</v>
      </c>
      <c r="C25" s="18">
        <f>C24*1%</f>
        <v>30180.323039999999</v>
      </c>
      <c r="E25" s="10" t="s">
        <v>189</v>
      </c>
      <c r="F25" s="18">
        <f>F24*1%</f>
        <v>8854.1769120000008</v>
      </c>
      <c r="H25" s="10" t="s">
        <v>189</v>
      </c>
      <c r="I25" s="18">
        <f>I24*1%</f>
        <v>4696.8538400000007</v>
      </c>
    </row>
    <row r="26" spans="2:9" x14ac:dyDescent="0.25">
      <c r="B26" s="10" t="s">
        <v>190</v>
      </c>
      <c r="C26" s="18">
        <f>$C$19*8.33%</f>
        <v>3018032.304</v>
      </c>
      <c r="E26" s="10" t="s">
        <v>190</v>
      </c>
      <c r="F26" s="18">
        <f>$F$19*8.33%</f>
        <v>885417.6912</v>
      </c>
      <c r="H26" s="10" t="s">
        <v>190</v>
      </c>
      <c r="I26" s="18">
        <f>$I$19*8.33%</f>
        <v>469685.38400000002</v>
      </c>
    </row>
    <row r="27" spans="2:9" x14ac:dyDescent="0.25">
      <c r="B27" s="10" t="s">
        <v>191</v>
      </c>
      <c r="C27" s="18">
        <f>($C$19-$C$20)*4.17%</f>
        <v>1310667.696</v>
      </c>
      <c r="E27" s="10" t="s">
        <v>191</v>
      </c>
      <c r="F27" s="18">
        <f>($F$19-$F$20)*4.17%</f>
        <v>393200.3088</v>
      </c>
      <c r="H27" s="10" t="s">
        <v>191</v>
      </c>
      <c r="I27" s="18">
        <f>($I$19-$I$20)*4.17%</f>
        <v>218444.61600000001</v>
      </c>
    </row>
    <row r="28" spans="2:9" x14ac:dyDescent="0.25">
      <c r="B28" s="10" t="s">
        <v>192</v>
      </c>
      <c r="C28" s="18">
        <f>($C$19-$C$20)*3%</f>
        <v>942926.4</v>
      </c>
      <c r="E28" s="10" t="s">
        <v>192</v>
      </c>
      <c r="F28" s="18">
        <f>($F$19-$F$20)*3%</f>
        <v>282877.92</v>
      </c>
      <c r="H28" s="10" t="s">
        <v>192</v>
      </c>
      <c r="I28" s="18">
        <f>($I$19-$I$20)*3%</f>
        <v>157154.4</v>
      </c>
    </row>
    <row r="29" spans="2:9" x14ac:dyDescent="0.25">
      <c r="B29" s="10" t="s">
        <v>193</v>
      </c>
      <c r="C29" s="18">
        <f>($C$19-$C$20)*2%</f>
        <v>628617.6</v>
      </c>
      <c r="E29" s="10" t="s">
        <v>193</v>
      </c>
      <c r="F29" s="18">
        <f>($F$19-$F$20)*2%</f>
        <v>188585.28</v>
      </c>
      <c r="H29" s="10" t="s">
        <v>193</v>
      </c>
      <c r="I29" s="18">
        <f>($I$19-$I$20)*2%</f>
        <v>104769.60000000001</v>
      </c>
    </row>
    <row r="30" spans="2:9" x14ac:dyDescent="0.25">
      <c r="B30" s="10" t="s">
        <v>194</v>
      </c>
      <c r="C30" s="18">
        <f>($C$19-$C$20)*4%</f>
        <v>1257235.2</v>
      </c>
      <c r="E30" s="10" t="s">
        <v>194</v>
      </c>
      <c r="F30" s="18">
        <f>($F$19-$F$20)*4%</f>
        <v>377170.56</v>
      </c>
      <c r="H30" s="10" t="s">
        <v>194</v>
      </c>
      <c r="I30" s="18">
        <f>($I$19-$I$20)*4%</f>
        <v>209539.20000000001</v>
      </c>
    </row>
    <row r="31" spans="2:9" x14ac:dyDescent="0.25">
      <c r="B31" s="10" t="s">
        <v>195</v>
      </c>
      <c r="C31" s="17">
        <f>C19+SUM(C21:C30)</f>
        <v>53043971.420639999</v>
      </c>
      <c r="E31" s="10" t="s">
        <v>195</v>
      </c>
      <c r="F31" s="17">
        <f>F19+SUM(F21:F30)</f>
        <v>15633007.506191999</v>
      </c>
      <c r="H31" s="10" t="s">
        <v>195</v>
      </c>
      <c r="I31" s="17">
        <f>I19+SUM(I21:I30)</f>
        <v>8373688.7034400003</v>
      </c>
    </row>
    <row r="33" spans="2:3" ht="30" x14ac:dyDescent="0.25">
      <c r="B33" s="19" t="s">
        <v>196</v>
      </c>
      <c r="C33" s="20">
        <f>C31+F31+I31</f>
        <v>77050667.630271986</v>
      </c>
    </row>
  </sheetData>
  <mergeCells count="3">
    <mergeCell ref="B3:C3"/>
    <mergeCell ref="E3:F3"/>
    <mergeCell ref="H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308F-64F7-48DE-AA05-F5A28484F484}">
  <dimension ref="A1:P23"/>
  <sheetViews>
    <sheetView workbookViewId="0">
      <selection activeCell="K6" sqref="K6"/>
    </sheetView>
  </sheetViews>
  <sheetFormatPr baseColWidth="10" defaultRowHeight="15" x14ac:dyDescent="0.25"/>
  <cols>
    <col min="1" max="1" width="15.42578125" customWidth="1"/>
    <col min="2" max="4" width="18.28515625" bestFit="1" customWidth="1"/>
    <col min="5" max="5" width="20.140625" bestFit="1" customWidth="1"/>
    <col min="6" max="13" width="18.28515625" bestFit="1" customWidth="1"/>
    <col min="14" max="14" width="20.28515625" customWidth="1"/>
    <col min="15" max="15" width="16.7109375" bestFit="1" customWidth="1"/>
    <col min="16" max="16" width="18.28515625" bestFit="1" customWidth="1"/>
  </cols>
  <sheetData>
    <row r="1" spans="1:16" x14ac:dyDescent="0.25">
      <c r="A1" s="10"/>
      <c r="B1" s="73" t="s">
        <v>203</v>
      </c>
      <c r="D1" s="3" t="s">
        <v>274</v>
      </c>
      <c r="E1" s="3" t="s">
        <v>275</v>
      </c>
      <c r="F1" s="3" t="s">
        <v>281</v>
      </c>
      <c r="G1" s="3" t="s">
        <v>282</v>
      </c>
      <c r="H1" s="3" t="s">
        <v>283</v>
      </c>
      <c r="I1" s="3" t="s">
        <v>284</v>
      </c>
      <c r="J1" s="3" t="s">
        <v>285</v>
      </c>
    </row>
    <row r="2" spans="1:16" x14ac:dyDescent="0.25">
      <c r="A2" s="73" t="s">
        <v>202</v>
      </c>
      <c r="B2" s="84">
        <f>Insumos!C24</f>
        <v>10305902.756000001</v>
      </c>
      <c r="D2" s="3">
        <v>165</v>
      </c>
      <c r="E2" s="3">
        <v>147</v>
      </c>
      <c r="F2" s="17">
        <f>18*$B$2*40%</f>
        <v>74202499.843200013</v>
      </c>
      <c r="G2" s="17">
        <f>18*$B$2*(1+6%)*40%</f>
        <v>78654649.833792016</v>
      </c>
      <c r="H2" s="17">
        <f>40%*18*$B$2*(1+6%)^2</f>
        <v>83373928.823819548</v>
      </c>
      <c r="I2" s="17">
        <f>40%*18*$B$2*(1+6%)^3</f>
        <v>88376364.553248733</v>
      </c>
      <c r="J2" s="17">
        <f>40%*18*$B$2*(1+6%)^4</f>
        <v>93678946.426443651</v>
      </c>
    </row>
    <row r="4" spans="1:16" ht="15.75" thickBot="1" x14ac:dyDescent="0.3"/>
    <row r="5" spans="1:16" x14ac:dyDescent="0.25">
      <c r="A5" s="80" t="s">
        <v>204</v>
      </c>
      <c r="B5" s="77">
        <v>0</v>
      </c>
      <c r="C5" s="67">
        <v>1</v>
      </c>
      <c r="D5" s="67">
        <v>2</v>
      </c>
      <c r="E5" s="67">
        <v>3</v>
      </c>
      <c r="F5" s="67">
        <v>4</v>
      </c>
      <c r="G5" s="67">
        <v>5</v>
      </c>
      <c r="H5" s="67">
        <v>6</v>
      </c>
      <c r="I5" s="67">
        <v>7</v>
      </c>
      <c r="J5" s="67">
        <v>8</v>
      </c>
      <c r="K5" s="67">
        <v>9</v>
      </c>
      <c r="L5" s="67">
        <v>10</v>
      </c>
      <c r="M5" s="67">
        <v>11</v>
      </c>
      <c r="N5" s="68">
        <v>12</v>
      </c>
    </row>
    <row r="6" spans="1:16" x14ac:dyDescent="0.25">
      <c r="A6" s="81" t="s">
        <v>205</v>
      </c>
      <c r="B6" s="78">
        <v>147</v>
      </c>
      <c r="C6" s="10">
        <v>147</v>
      </c>
      <c r="D6" s="10">
        <v>147</v>
      </c>
      <c r="E6" s="10">
        <v>147</v>
      </c>
      <c r="F6" s="10">
        <v>147</v>
      </c>
      <c r="G6" s="10">
        <v>147</v>
      </c>
      <c r="H6" s="10">
        <v>147</v>
      </c>
      <c r="I6" s="10">
        <v>147</v>
      </c>
      <c r="J6" s="10">
        <v>147</v>
      </c>
      <c r="K6" s="10">
        <v>147</v>
      </c>
      <c r="L6" s="10">
        <v>147</v>
      </c>
      <c r="M6" s="10">
        <v>147</v>
      </c>
      <c r="N6" s="69">
        <v>147</v>
      </c>
      <c r="O6" s="96"/>
    </row>
    <row r="7" spans="1:16" ht="15.75" thickBot="1" x14ac:dyDescent="0.3">
      <c r="A7" s="82" t="s">
        <v>206</v>
      </c>
      <c r="B7" s="79">
        <f>B6*$B$2</f>
        <v>1514967705.1320002</v>
      </c>
      <c r="C7" s="70">
        <f t="shared" ref="C7:N7" si="0">C6*$B$2</f>
        <v>1514967705.1320002</v>
      </c>
      <c r="D7" s="70">
        <f t="shared" si="0"/>
        <v>1514967705.1320002</v>
      </c>
      <c r="E7" s="70">
        <f t="shared" si="0"/>
        <v>1514967705.1320002</v>
      </c>
      <c r="F7" s="70">
        <f t="shared" si="0"/>
        <v>1514967705.1320002</v>
      </c>
      <c r="G7" s="70">
        <f t="shared" si="0"/>
        <v>1514967705.1320002</v>
      </c>
      <c r="H7" s="70">
        <f t="shared" si="0"/>
        <v>1514967705.1320002</v>
      </c>
      <c r="I7" s="70">
        <f t="shared" si="0"/>
        <v>1514967705.1320002</v>
      </c>
      <c r="J7" s="70">
        <f t="shared" si="0"/>
        <v>1514967705.1320002</v>
      </c>
      <c r="K7" s="70">
        <f t="shared" si="0"/>
        <v>1514967705.1320002</v>
      </c>
      <c r="L7" s="70">
        <f t="shared" si="0"/>
        <v>1514967705.1320002</v>
      </c>
      <c r="M7" s="70">
        <f t="shared" si="0"/>
        <v>1514967705.1320002</v>
      </c>
      <c r="N7" s="54">
        <f t="shared" si="0"/>
        <v>1514967705.1320002</v>
      </c>
      <c r="P7" s="13"/>
    </row>
    <row r="8" spans="1:16" ht="15.75" thickBot="1" x14ac:dyDescent="0.3"/>
    <row r="9" spans="1:16" x14ac:dyDescent="0.25">
      <c r="A9" s="80" t="s">
        <v>204</v>
      </c>
      <c r="B9" s="77"/>
      <c r="C9" s="67">
        <v>13</v>
      </c>
      <c r="D9" s="67">
        <v>14</v>
      </c>
      <c r="E9" s="67">
        <v>15</v>
      </c>
      <c r="F9" s="67">
        <v>16</v>
      </c>
      <c r="G9" s="67">
        <v>17</v>
      </c>
      <c r="H9" s="67">
        <v>18</v>
      </c>
      <c r="I9" s="67">
        <v>19</v>
      </c>
      <c r="J9" s="67">
        <v>20</v>
      </c>
      <c r="K9" s="67">
        <v>21</v>
      </c>
      <c r="L9" s="67">
        <v>22</v>
      </c>
      <c r="M9" s="67">
        <v>23</v>
      </c>
      <c r="N9" s="68">
        <v>24</v>
      </c>
    </row>
    <row r="10" spans="1:16" x14ac:dyDescent="0.25">
      <c r="A10" s="81" t="s">
        <v>205</v>
      </c>
      <c r="B10" s="78"/>
      <c r="C10" s="10">
        <v>147</v>
      </c>
      <c r="D10" s="10">
        <v>147</v>
      </c>
      <c r="E10" s="10">
        <v>147</v>
      </c>
      <c r="F10" s="10">
        <v>147</v>
      </c>
      <c r="G10" s="10">
        <v>147</v>
      </c>
      <c r="H10" s="10">
        <v>147</v>
      </c>
      <c r="I10" s="10">
        <v>147</v>
      </c>
      <c r="J10" s="10">
        <v>147</v>
      </c>
      <c r="K10" s="10">
        <v>147</v>
      </c>
      <c r="L10" s="10">
        <v>147</v>
      </c>
      <c r="M10" s="10">
        <v>147</v>
      </c>
      <c r="N10" s="69">
        <v>147</v>
      </c>
    </row>
    <row r="11" spans="1:16" ht="15.75" thickBot="1" x14ac:dyDescent="0.3">
      <c r="A11" s="82" t="s">
        <v>206</v>
      </c>
      <c r="B11" s="83"/>
      <c r="C11" s="70">
        <f>C10*$B$2*(1+6%)</f>
        <v>1605865767.4399202</v>
      </c>
      <c r="D11" s="70">
        <f t="shared" ref="D11:N11" si="1">D10*$B$2*(1+6%)</f>
        <v>1605865767.4399202</v>
      </c>
      <c r="E11" s="70">
        <f t="shared" si="1"/>
        <v>1605865767.4399202</v>
      </c>
      <c r="F11" s="70">
        <f t="shared" si="1"/>
        <v>1605865767.4399202</v>
      </c>
      <c r="G11" s="70">
        <f t="shared" si="1"/>
        <v>1605865767.4399202</v>
      </c>
      <c r="H11" s="70">
        <f t="shared" si="1"/>
        <v>1605865767.4399202</v>
      </c>
      <c r="I11" s="70">
        <f t="shared" si="1"/>
        <v>1605865767.4399202</v>
      </c>
      <c r="J11" s="70">
        <f t="shared" si="1"/>
        <v>1605865767.4399202</v>
      </c>
      <c r="K11" s="70">
        <f t="shared" si="1"/>
        <v>1605865767.4399202</v>
      </c>
      <c r="L11" s="70">
        <f t="shared" si="1"/>
        <v>1605865767.4399202</v>
      </c>
      <c r="M11" s="70">
        <f t="shared" si="1"/>
        <v>1605865767.4399202</v>
      </c>
      <c r="N11" s="54">
        <f t="shared" si="1"/>
        <v>1605865767.4399202</v>
      </c>
      <c r="P11" s="13"/>
    </row>
    <row r="12" spans="1:16" ht="15.75" thickBot="1" x14ac:dyDescent="0.3"/>
    <row r="13" spans="1:16" x14ac:dyDescent="0.25">
      <c r="A13" s="80" t="s">
        <v>204</v>
      </c>
      <c r="B13" s="67"/>
      <c r="C13" s="67">
        <v>25</v>
      </c>
      <c r="D13" s="67">
        <v>26</v>
      </c>
      <c r="E13" s="67">
        <v>27</v>
      </c>
      <c r="F13" s="67">
        <v>28</v>
      </c>
      <c r="G13" s="67">
        <v>29</v>
      </c>
      <c r="H13" s="67">
        <v>30</v>
      </c>
      <c r="I13" s="67">
        <v>31</v>
      </c>
      <c r="J13" s="67">
        <v>32</v>
      </c>
      <c r="K13" s="67">
        <v>33</v>
      </c>
      <c r="L13" s="67">
        <v>34</v>
      </c>
      <c r="M13" s="67">
        <v>35</v>
      </c>
      <c r="N13" s="68">
        <v>36</v>
      </c>
    </row>
    <row r="14" spans="1:16" x14ac:dyDescent="0.25">
      <c r="A14" s="81" t="s">
        <v>205</v>
      </c>
      <c r="B14" s="10"/>
      <c r="C14" s="10">
        <v>147</v>
      </c>
      <c r="D14" s="10">
        <v>147</v>
      </c>
      <c r="E14" s="10">
        <v>147</v>
      </c>
      <c r="F14" s="10">
        <v>147</v>
      </c>
      <c r="G14" s="10">
        <v>147</v>
      </c>
      <c r="H14" s="10">
        <v>147</v>
      </c>
      <c r="I14" s="10">
        <v>147</v>
      </c>
      <c r="J14" s="10">
        <v>147</v>
      </c>
      <c r="K14" s="10">
        <v>147</v>
      </c>
      <c r="L14" s="10">
        <v>147</v>
      </c>
      <c r="M14" s="10">
        <v>147</v>
      </c>
      <c r="N14" s="69">
        <v>147</v>
      </c>
      <c r="O14" s="96"/>
    </row>
    <row r="15" spans="1:16" ht="15.75" thickBot="1" x14ac:dyDescent="0.3">
      <c r="A15" s="82" t="s">
        <v>206</v>
      </c>
      <c r="B15" s="72"/>
      <c r="C15" s="70">
        <f>C14*$B$2*(1+6%)^2</f>
        <v>1702217713.4863157</v>
      </c>
      <c r="D15" s="70">
        <f t="shared" ref="D15:N15" si="2">D14*$B$2*(1+6%)^2</f>
        <v>1702217713.4863157</v>
      </c>
      <c r="E15" s="70">
        <f t="shared" si="2"/>
        <v>1702217713.4863157</v>
      </c>
      <c r="F15" s="70">
        <f t="shared" si="2"/>
        <v>1702217713.4863157</v>
      </c>
      <c r="G15" s="70">
        <f t="shared" si="2"/>
        <v>1702217713.4863157</v>
      </c>
      <c r="H15" s="70">
        <f t="shared" si="2"/>
        <v>1702217713.4863157</v>
      </c>
      <c r="I15" s="70">
        <f t="shared" si="2"/>
        <v>1702217713.4863157</v>
      </c>
      <c r="J15" s="70">
        <f t="shared" si="2"/>
        <v>1702217713.4863157</v>
      </c>
      <c r="K15" s="70">
        <f t="shared" si="2"/>
        <v>1702217713.4863157</v>
      </c>
      <c r="L15" s="70">
        <f t="shared" si="2"/>
        <v>1702217713.4863157</v>
      </c>
      <c r="M15" s="70">
        <f t="shared" si="2"/>
        <v>1702217713.4863157</v>
      </c>
      <c r="N15" s="54">
        <f t="shared" si="2"/>
        <v>1702217713.4863157</v>
      </c>
      <c r="P15" s="13"/>
    </row>
    <row r="16" spans="1:16" ht="15.75" thickBot="1" x14ac:dyDescent="0.3"/>
    <row r="17" spans="1:16" x14ac:dyDescent="0.25">
      <c r="A17" s="80" t="s">
        <v>204</v>
      </c>
      <c r="B17" s="67"/>
      <c r="C17" s="67">
        <v>37</v>
      </c>
      <c r="D17" s="67">
        <v>38</v>
      </c>
      <c r="E17" s="67">
        <v>39</v>
      </c>
      <c r="F17" s="67">
        <v>40</v>
      </c>
      <c r="G17" s="67">
        <v>41</v>
      </c>
      <c r="H17" s="67">
        <v>42</v>
      </c>
      <c r="I17" s="67">
        <v>43</v>
      </c>
      <c r="J17" s="67">
        <v>44</v>
      </c>
      <c r="K17" s="67">
        <v>45</v>
      </c>
      <c r="L17" s="67">
        <v>46</v>
      </c>
      <c r="M17" s="67">
        <v>47</v>
      </c>
      <c r="N17" s="68">
        <v>48</v>
      </c>
    </row>
    <row r="18" spans="1:16" x14ac:dyDescent="0.25">
      <c r="A18" s="81" t="s">
        <v>205</v>
      </c>
      <c r="B18" s="10"/>
      <c r="C18" s="10">
        <v>147</v>
      </c>
      <c r="D18" s="10">
        <v>147</v>
      </c>
      <c r="E18" s="10">
        <v>147</v>
      </c>
      <c r="F18" s="10">
        <v>147</v>
      </c>
      <c r="G18" s="10">
        <v>147</v>
      </c>
      <c r="H18" s="10">
        <v>147</v>
      </c>
      <c r="I18" s="10">
        <v>147</v>
      </c>
      <c r="J18" s="10">
        <v>147</v>
      </c>
      <c r="K18" s="10">
        <v>147</v>
      </c>
      <c r="L18" s="10">
        <v>147</v>
      </c>
      <c r="M18" s="10">
        <v>147</v>
      </c>
      <c r="N18" s="69">
        <v>147</v>
      </c>
      <c r="O18" s="96"/>
    </row>
    <row r="19" spans="1:16" ht="15.75" thickBot="1" x14ac:dyDescent="0.3">
      <c r="A19" s="82" t="s">
        <v>206</v>
      </c>
      <c r="B19" s="72"/>
      <c r="C19" s="70">
        <f>C18*$B$2*(1+6%)^3</f>
        <v>1804350776.2954948</v>
      </c>
      <c r="D19" s="70">
        <f t="shared" ref="D19:N19" si="3">D18*$B$2*(1+6%)^3</f>
        <v>1804350776.2954948</v>
      </c>
      <c r="E19" s="70">
        <f t="shared" si="3"/>
        <v>1804350776.2954948</v>
      </c>
      <c r="F19" s="70">
        <f t="shared" si="3"/>
        <v>1804350776.2954948</v>
      </c>
      <c r="G19" s="70">
        <f t="shared" si="3"/>
        <v>1804350776.2954948</v>
      </c>
      <c r="H19" s="70">
        <f t="shared" si="3"/>
        <v>1804350776.2954948</v>
      </c>
      <c r="I19" s="70">
        <f t="shared" si="3"/>
        <v>1804350776.2954948</v>
      </c>
      <c r="J19" s="70">
        <f t="shared" si="3"/>
        <v>1804350776.2954948</v>
      </c>
      <c r="K19" s="70">
        <f t="shared" si="3"/>
        <v>1804350776.2954948</v>
      </c>
      <c r="L19" s="70">
        <f t="shared" si="3"/>
        <v>1804350776.2954948</v>
      </c>
      <c r="M19" s="70">
        <f t="shared" si="3"/>
        <v>1804350776.2954948</v>
      </c>
      <c r="N19" s="54">
        <f t="shared" si="3"/>
        <v>1804350776.2954948</v>
      </c>
      <c r="P19" s="13"/>
    </row>
    <row r="20" spans="1:16" ht="15.75" thickBot="1" x14ac:dyDescent="0.3"/>
    <row r="21" spans="1:16" x14ac:dyDescent="0.25">
      <c r="A21" s="80" t="s">
        <v>204</v>
      </c>
      <c r="B21" s="67"/>
      <c r="C21" s="67">
        <v>39</v>
      </c>
      <c r="D21" s="67">
        <v>40</v>
      </c>
      <c r="E21" s="67">
        <v>41</v>
      </c>
      <c r="F21" s="67">
        <v>42</v>
      </c>
      <c r="G21" s="67">
        <v>43</v>
      </c>
      <c r="H21" s="67">
        <v>44</v>
      </c>
      <c r="I21" s="67">
        <v>45</v>
      </c>
      <c r="J21" s="67">
        <v>46</v>
      </c>
      <c r="K21" s="67">
        <v>47</v>
      </c>
      <c r="L21" s="67">
        <v>48</v>
      </c>
      <c r="M21" s="67">
        <v>49</v>
      </c>
      <c r="N21" s="68">
        <v>50</v>
      </c>
    </row>
    <row r="22" spans="1:16" x14ac:dyDescent="0.25">
      <c r="A22" s="81" t="s">
        <v>205</v>
      </c>
      <c r="B22" s="10"/>
      <c r="C22" s="10">
        <v>147</v>
      </c>
      <c r="D22" s="10">
        <v>147</v>
      </c>
      <c r="E22" s="10">
        <v>147</v>
      </c>
      <c r="F22" s="10">
        <v>147</v>
      </c>
      <c r="G22" s="10">
        <v>147</v>
      </c>
      <c r="H22" s="10">
        <v>147</v>
      </c>
      <c r="I22" s="10">
        <v>147</v>
      </c>
      <c r="J22" s="10">
        <v>147</v>
      </c>
      <c r="K22" s="10">
        <v>147</v>
      </c>
      <c r="L22" s="10">
        <v>147</v>
      </c>
      <c r="M22" s="10">
        <v>147</v>
      </c>
      <c r="N22" s="69">
        <v>147</v>
      </c>
      <c r="O22" s="96"/>
    </row>
    <row r="23" spans="1:16" ht="15.75" thickBot="1" x14ac:dyDescent="0.3">
      <c r="A23" s="82" t="s">
        <v>206</v>
      </c>
      <c r="B23" s="72"/>
      <c r="C23" s="70">
        <f>C22*$B$2*(1+6%)^4</f>
        <v>1912611822.8732245</v>
      </c>
      <c r="D23" s="70">
        <f t="shared" ref="D23:N23" si="4">D22*$B$2*(1+6%)^4</f>
        <v>1912611822.8732245</v>
      </c>
      <c r="E23" s="70">
        <f t="shared" si="4"/>
        <v>1912611822.8732245</v>
      </c>
      <c r="F23" s="70">
        <f t="shared" si="4"/>
        <v>1912611822.8732245</v>
      </c>
      <c r="G23" s="70">
        <f t="shared" si="4"/>
        <v>1912611822.8732245</v>
      </c>
      <c r="H23" s="70">
        <f t="shared" si="4"/>
        <v>1912611822.8732245</v>
      </c>
      <c r="I23" s="70">
        <f t="shared" si="4"/>
        <v>1912611822.8732245</v>
      </c>
      <c r="J23" s="70">
        <f t="shared" si="4"/>
        <v>1912611822.8732245</v>
      </c>
      <c r="K23" s="70">
        <f t="shared" si="4"/>
        <v>1912611822.8732245</v>
      </c>
      <c r="L23" s="70">
        <f t="shared" si="4"/>
        <v>1912611822.8732245</v>
      </c>
      <c r="M23" s="70">
        <f t="shared" si="4"/>
        <v>1912611822.8732245</v>
      </c>
      <c r="N23" s="54">
        <f t="shared" si="4"/>
        <v>1912611822.8732245</v>
      </c>
      <c r="P23" s="13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A821-7E5B-4444-8CAE-32A23FEDF7A7}">
  <dimension ref="A1:M23"/>
  <sheetViews>
    <sheetView zoomScale="85" zoomScaleNormal="85" workbookViewId="0">
      <selection activeCell="E31" sqref="E31"/>
    </sheetView>
  </sheetViews>
  <sheetFormatPr baseColWidth="10" defaultRowHeight="15" x14ac:dyDescent="0.25"/>
  <cols>
    <col min="1" max="1" width="16.42578125" bestFit="1" customWidth="1"/>
    <col min="2" max="13" width="18.28515625" bestFit="1" customWidth="1"/>
    <col min="14" max="14" width="20.28515625" customWidth="1"/>
  </cols>
  <sheetData>
    <row r="1" spans="1:13" x14ac:dyDescent="0.25">
      <c r="A1" s="10"/>
      <c r="B1" s="23" t="s">
        <v>203</v>
      </c>
    </row>
    <row r="2" spans="1:13" x14ac:dyDescent="0.25">
      <c r="A2" s="73" t="s">
        <v>201</v>
      </c>
      <c r="B2" s="17">
        <v>20000000</v>
      </c>
    </row>
    <row r="3" spans="1:13" x14ac:dyDescent="0.25">
      <c r="A3" s="73" t="s">
        <v>272</v>
      </c>
      <c r="B3" s="71">
        <f>B2/Costos!B2</f>
        <v>1.9406354274356203</v>
      </c>
    </row>
    <row r="4" spans="1:13" ht="15.75" thickBot="1" x14ac:dyDescent="0.3"/>
    <row r="5" spans="1:13" x14ac:dyDescent="0.25">
      <c r="A5" s="80" t="s">
        <v>204</v>
      </c>
      <c r="B5" s="77">
        <v>1</v>
      </c>
      <c r="C5" s="67">
        <v>2</v>
      </c>
      <c r="D5" s="67">
        <v>3</v>
      </c>
      <c r="E5" s="67">
        <v>4</v>
      </c>
      <c r="F5" s="67">
        <v>5</v>
      </c>
      <c r="G5" s="67">
        <v>6</v>
      </c>
      <c r="H5" s="67">
        <v>7</v>
      </c>
      <c r="I5" s="67">
        <v>8</v>
      </c>
      <c r="J5" s="67">
        <v>9</v>
      </c>
      <c r="K5" s="67">
        <v>10</v>
      </c>
      <c r="L5" s="67">
        <v>11</v>
      </c>
      <c r="M5" s="68">
        <v>12</v>
      </c>
    </row>
    <row r="6" spans="1:13" x14ac:dyDescent="0.25">
      <c r="A6" s="81" t="s">
        <v>207</v>
      </c>
      <c r="B6" s="78">
        <v>45</v>
      </c>
      <c r="C6" s="10">
        <v>56</v>
      </c>
      <c r="D6" s="10">
        <v>78</v>
      </c>
      <c r="E6" s="10">
        <v>90</v>
      </c>
      <c r="F6" s="10">
        <v>98</v>
      </c>
      <c r="G6" s="10">
        <v>110</v>
      </c>
      <c r="H6" s="10">
        <v>120</v>
      </c>
      <c r="I6" s="10">
        <v>135</v>
      </c>
      <c r="J6" s="10">
        <v>137</v>
      </c>
      <c r="K6" s="10">
        <v>139</v>
      </c>
      <c r="L6" s="10">
        <v>143</v>
      </c>
      <c r="M6" s="69">
        <v>147</v>
      </c>
    </row>
    <row r="7" spans="1:13" ht="15.75" thickBot="1" x14ac:dyDescent="0.3">
      <c r="A7" s="82" t="s">
        <v>206</v>
      </c>
      <c r="B7" s="79">
        <f t="shared" ref="B7:M7" si="0">B6*$B$2</f>
        <v>900000000</v>
      </c>
      <c r="C7" s="70">
        <f t="shared" si="0"/>
        <v>1120000000</v>
      </c>
      <c r="D7" s="70">
        <f t="shared" si="0"/>
        <v>1560000000</v>
      </c>
      <c r="E7" s="70">
        <f t="shared" si="0"/>
        <v>1800000000</v>
      </c>
      <c r="F7" s="70">
        <f t="shared" si="0"/>
        <v>1960000000</v>
      </c>
      <c r="G7" s="70">
        <f t="shared" si="0"/>
        <v>2200000000</v>
      </c>
      <c r="H7" s="70">
        <f t="shared" si="0"/>
        <v>2400000000</v>
      </c>
      <c r="I7" s="70">
        <f t="shared" si="0"/>
        <v>2700000000</v>
      </c>
      <c r="J7" s="70">
        <f t="shared" si="0"/>
        <v>2740000000</v>
      </c>
      <c r="K7" s="70">
        <f t="shared" si="0"/>
        <v>2780000000</v>
      </c>
      <c r="L7" s="70">
        <f t="shared" si="0"/>
        <v>2860000000</v>
      </c>
      <c r="M7" s="54">
        <f t="shared" si="0"/>
        <v>2940000000</v>
      </c>
    </row>
    <row r="8" spans="1:13" ht="15.75" thickBot="1" x14ac:dyDescent="0.3"/>
    <row r="9" spans="1:13" x14ac:dyDescent="0.25">
      <c r="A9" s="80" t="s">
        <v>204</v>
      </c>
      <c r="B9" s="67">
        <v>13</v>
      </c>
      <c r="C9" s="67">
        <v>14</v>
      </c>
      <c r="D9" s="67">
        <v>15</v>
      </c>
      <c r="E9" s="67">
        <v>16</v>
      </c>
      <c r="F9" s="67">
        <v>17</v>
      </c>
      <c r="G9" s="67">
        <v>18</v>
      </c>
      <c r="H9" s="67">
        <v>19</v>
      </c>
      <c r="I9" s="67">
        <v>20</v>
      </c>
      <c r="J9" s="67">
        <v>21</v>
      </c>
      <c r="K9" s="67">
        <v>22</v>
      </c>
      <c r="L9" s="67">
        <v>23</v>
      </c>
      <c r="M9" s="68">
        <v>24</v>
      </c>
    </row>
    <row r="10" spans="1:13" x14ac:dyDescent="0.25">
      <c r="A10" s="81" t="s">
        <v>207</v>
      </c>
      <c r="B10" s="10">
        <v>147</v>
      </c>
      <c r="C10" s="10">
        <v>147</v>
      </c>
      <c r="D10" s="10">
        <v>150</v>
      </c>
      <c r="E10" s="10">
        <v>155</v>
      </c>
      <c r="F10" s="10">
        <v>160</v>
      </c>
      <c r="G10" s="10">
        <v>165</v>
      </c>
      <c r="H10" s="10">
        <v>165</v>
      </c>
      <c r="I10" s="10">
        <v>160</v>
      </c>
      <c r="J10" s="10">
        <v>165</v>
      </c>
      <c r="K10" s="10">
        <v>170</v>
      </c>
      <c r="L10" s="10">
        <v>178</v>
      </c>
      <c r="M10" s="69">
        <v>160</v>
      </c>
    </row>
    <row r="11" spans="1:13" ht="15.75" thickBot="1" x14ac:dyDescent="0.3">
      <c r="A11" s="82" t="s">
        <v>206</v>
      </c>
      <c r="B11" s="70">
        <f>B10*$B$2*(1+6%)</f>
        <v>3116400000</v>
      </c>
      <c r="C11" s="70">
        <f t="shared" ref="C11:M11" si="1">C10*$B$2*(1+6%)</f>
        <v>3116400000</v>
      </c>
      <c r="D11" s="70">
        <f t="shared" si="1"/>
        <v>3180000000</v>
      </c>
      <c r="E11" s="70">
        <f t="shared" si="1"/>
        <v>3286000000</v>
      </c>
      <c r="F11" s="70">
        <f t="shared" si="1"/>
        <v>3392000000</v>
      </c>
      <c r="G11" s="70">
        <f t="shared" si="1"/>
        <v>3498000000</v>
      </c>
      <c r="H11" s="70">
        <f t="shared" si="1"/>
        <v>3498000000</v>
      </c>
      <c r="I11" s="70">
        <f t="shared" si="1"/>
        <v>3392000000</v>
      </c>
      <c r="J11" s="70">
        <f t="shared" si="1"/>
        <v>3498000000</v>
      </c>
      <c r="K11" s="70">
        <f t="shared" si="1"/>
        <v>3604000000</v>
      </c>
      <c r="L11" s="70">
        <f t="shared" si="1"/>
        <v>3773600000</v>
      </c>
      <c r="M11" s="54">
        <f t="shared" si="1"/>
        <v>3392000000</v>
      </c>
    </row>
    <row r="12" spans="1:13" ht="15.75" thickBot="1" x14ac:dyDescent="0.3"/>
    <row r="13" spans="1:13" x14ac:dyDescent="0.25">
      <c r="A13" s="80" t="s">
        <v>204</v>
      </c>
      <c r="B13" s="67">
        <v>25</v>
      </c>
      <c r="C13" s="67">
        <v>26</v>
      </c>
      <c r="D13" s="67">
        <v>27</v>
      </c>
      <c r="E13" s="67">
        <v>28</v>
      </c>
      <c r="F13" s="67">
        <v>29</v>
      </c>
      <c r="G13" s="67">
        <v>30</v>
      </c>
      <c r="H13" s="67">
        <v>31</v>
      </c>
      <c r="I13" s="67">
        <v>32</v>
      </c>
      <c r="J13" s="67">
        <v>33</v>
      </c>
      <c r="K13" s="67">
        <v>34</v>
      </c>
      <c r="L13" s="67">
        <v>35</v>
      </c>
      <c r="M13" s="68">
        <v>36</v>
      </c>
    </row>
    <row r="14" spans="1:13" x14ac:dyDescent="0.25">
      <c r="A14" s="81" t="s">
        <v>207</v>
      </c>
      <c r="B14" s="10">
        <v>160</v>
      </c>
      <c r="C14" s="10">
        <v>160</v>
      </c>
      <c r="D14" s="10">
        <v>147</v>
      </c>
      <c r="E14" s="10">
        <v>158</v>
      </c>
      <c r="F14" s="10">
        <v>175</v>
      </c>
      <c r="G14" s="10">
        <v>170</v>
      </c>
      <c r="H14" s="10">
        <v>180</v>
      </c>
      <c r="I14" s="10">
        <v>170</v>
      </c>
      <c r="J14" s="10">
        <v>170</v>
      </c>
      <c r="K14" s="10">
        <v>167</v>
      </c>
      <c r="L14" s="10">
        <v>180</v>
      </c>
      <c r="M14" s="69">
        <v>185</v>
      </c>
    </row>
    <row r="15" spans="1:13" ht="15.75" thickBot="1" x14ac:dyDescent="0.3">
      <c r="A15" s="82" t="s">
        <v>206</v>
      </c>
      <c r="B15" s="70">
        <f>B14*$B$2*(1+6%)^2</f>
        <v>3595520000.0000005</v>
      </c>
      <c r="C15" s="70">
        <f t="shared" ref="C15:M15" si="2">C14*$B$2*(1+6%)^2</f>
        <v>3595520000.0000005</v>
      </c>
      <c r="D15" s="70">
        <f t="shared" si="2"/>
        <v>3303384000.0000005</v>
      </c>
      <c r="E15" s="70">
        <f t="shared" si="2"/>
        <v>3550576000.0000005</v>
      </c>
      <c r="F15" s="70">
        <f t="shared" si="2"/>
        <v>3932600000.0000005</v>
      </c>
      <c r="G15" s="70">
        <f t="shared" si="2"/>
        <v>3820240000.0000005</v>
      </c>
      <c r="H15" s="70">
        <f t="shared" si="2"/>
        <v>4044960000.0000005</v>
      </c>
      <c r="I15" s="70">
        <f t="shared" si="2"/>
        <v>3820240000.0000005</v>
      </c>
      <c r="J15" s="70">
        <f t="shared" si="2"/>
        <v>3820240000.0000005</v>
      </c>
      <c r="K15" s="70">
        <f t="shared" si="2"/>
        <v>3752824000.0000005</v>
      </c>
      <c r="L15" s="70">
        <f t="shared" si="2"/>
        <v>4044960000.0000005</v>
      </c>
      <c r="M15" s="54">
        <f t="shared" si="2"/>
        <v>4157320000.0000005</v>
      </c>
    </row>
    <row r="16" spans="1:13" ht="15.75" thickBot="1" x14ac:dyDescent="0.3"/>
    <row r="17" spans="1:13" x14ac:dyDescent="0.25">
      <c r="A17" s="80" t="s">
        <v>204</v>
      </c>
      <c r="B17" s="67">
        <v>37</v>
      </c>
      <c r="C17" s="67">
        <v>38</v>
      </c>
      <c r="D17" s="67">
        <v>39</v>
      </c>
      <c r="E17" s="67">
        <v>40</v>
      </c>
      <c r="F17" s="67">
        <v>41</v>
      </c>
      <c r="G17" s="67">
        <v>42</v>
      </c>
      <c r="H17" s="67">
        <v>43</v>
      </c>
      <c r="I17" s="67">
        <v>44</v>
      </c>
      <c r="J17" s="67">
        <v>45</v>
      </c>
      <c r="K17" s="67">
        <v>46</v>
      </c>
      <c r="L17" s="67">
        <v>47</v>
      </c>
      <c r="M17" s="68">
        <v>48</v>
      </c>
    </row>
    <row r="18" spans="1:13" x14ac:dyDescent="0.25">
      <c r="A18" s="81" t="s">
        <v>207</v>
      </c>
      <c r="B18" s="10">
        <f>B14+5</f>
        <v>165</v>
      </c>
      <c r="C18" s="10">
        <f>C14+7</f>
        <v>167</v>
      </c>
      <c r="D18" s="10">
        <f>D14+9</f>
        <v>156</v>
      </c>
      <c r="E18" s="10">
        <f>E14+1</f>
        <v>159</v>
      </c>
      <c r="F18" s="10">
        <f>F14-1</f>
        <v>174</v>
      </c>
      <c r="G18" s="10">
        <f>G14+7</f>
        <v>177</v>
      </c>
      <c r="H18" s="10">
        <f>H14</f>
        <v>180</v>
      </c>
      <c r="I18" s="10">
        <v>149</v>
      </c>
      <c r="J18" s="10">
        <v>151</v>
      </c>
      <c r="K18" s="10">
        <v>147</v>
      </c>
      <c r="L18" s="10">
        <v>147</v>
      </c>
      <c r="M18" s="69">
        <v>147</v>
      </c>
    </row>
    <row r="19" spans="1:13" ht="15.75" thickBot="1" x14ac:dyDescent="0.3">
      <c r="A19" s="82" t="s">
        <v>206</v>
      </c>
      <c r="B19" s="70">
        <f>B18*$B$2*(1+6%)^3</f>
        <v>3930352800.000001</v>
      </c>
      <c r="C19" s="70">
        <f t="shared" ref="C19:M19" si="3">C18*$B$2*(1+6%)^3</f>
        <v>3977993440.000001</v>
      </c>
      <c r="D19" s="70">
        <f t="shared" si="3"/>
        <v>3715969920.000001</v>
      </c>
      <c r="E19" s="70">
        <f t="shared" si="3"/>
        <v>3787430880.000001</v>
      </c>
      <c r="F19" s="70">
        <f t="shared" si="3"/>
        <v>4144735680.000001</v>
      </c>
      <c r="G19" s="70">
        <f t="shared" si="3"/>
        <v>4216196640.000001</v>
      </c>
      <c r="H19" s="70">
        <f t="shared" si="3"/>
        <v>4287657600.000001</v>
      </c>
      <c r="I19" s="70">
        <f t="shared" si="3"/>
        <v>3549227680.000001</v>
      </c>
      <c r="J19" s="70">
        <f t="shared" si="3"/>
        <v>3596868320.000001</v>
      </c>
      <c r="K19" s="70">
        <f t="shared" si="3"/>
        <v>3501587040.000001</v>
      </c>
      <c r="L19" s="70">
        <f t="shared" si="3"/>
        <v>3501587040.000001</v>
      </c>
      <c r="M19" s="54">
        <f t="shared" si="3"/>
        <v>3501587040.000001</v>
      </c>
    </row>
    <row r="20" spans="1:13" ht="15.75" thickBot="1" x14ac:dyDescent="0.3"/>
    <row r="21" spans="1:13" x14ac:dyDescent="0.25">
      <c r="A21" s="80" t="s">
        <v>204</v>
      </c>
      <c r="B21" s="67">
        <v>49</v>
      </c>
      <c r="C21" s="67">
        <v>50</v>
      </c>
      <c r="D21" s="67">
        <v>51</v>
      </c>
      <c r="E21" s="67">
        <v>52</v>
      </c>
      <c r="F21" s="67">
        <v>53</v>
      </c>
      <c r="G21" s="67">
        <v>54</v>
      </c>
      <c r="H21" s="67">
        <v>55</v>
      </c>
      <c r="I21" s="67">
        <v>56</v>
      </c>
      <c r="J21" s="67">
        <v>57</v>
      </c>
      <c r="K21" s="67">
        <v>58</v>
      </c>
      <c r="L21" s="67">
        <v>59</v>
      </c>
      <c r="M21" s="68">
        <v>60</v>
      </c>
    </row>
    <row r="22" spans="1:13" x14ac:dyDescent="0.25">
      <c r="A22" s="81" t="s">
        <v>207</v>
      </c>
      <c r="B22" s="10">
        <v>153</v>
      </c>
      <c r="C22" s="10">
        <v>150</v>
      </c>
      <c r="D22" s="10">
        <v>148</v>
      </c>
      <c r="E22" s="10">
        <v>156</v>
      </c>
      <c r="F22" s="10">
        <v>158</v>
      </c>
      <c r="G22" s="10">
        <v>150</v>
      </c>
      <c r="H22" s="10">
        <v>156</v>
      </c>
      <c r="I22" s="10">
        <v>147</v>
      </c>
      <c r="J22" s="10">
        <v>147</v>
      </c>
      <c r="K22" s="10">
        <v>147</v>
      </c>
      <c r="L22" s="10">
        <v>147</v>
      </c>
      <c r="M22" s="69">
        <v>147</v>
      </c>
    </row>
    <row r="23" spans="1:13" ht="15.75" thickBot="1" x14ac:dyDescent="0.3">
      <c r="A23" s="82" t="s">
        <v>206</v>
      </c>
      <c r="B23" s="70">
        <f>B22*$B$2*(1+6%)^4</f>
        <v>3863179497.6000009</v>
      </c>
      <c r="C23" s="70">
        <f t="shared" ref="C23:M23" si="4">C22*$B$2*(1+6%)^4</f>
        <v>3787430880.000001</v>
      </c>
      <c r="D23" s="70">
        <f t="shared" si="4"/>
        <v>3736931801.6000009</v>
      </c>
      <c r="E23" s="70">
        <f t="shared" si="4"/>
        <v>3938928115.2000008</v>
      </c>
      <c r="F23" s="70">
        <f t="shared" si="4"/>
        <v>3989427193.6000009</v>
      </c>
      <c r="G23" s="70">
        <f t="shared" si="4"/>
        <v>3787430880.000001</v>
      </c>
      <c r="H23" s="70">
        <f t="shared" si="4"/>
        <v>3938928115.2000008</v>
      </c>
      <c r="I23" s="70">
        <f t="shared" si="4"/>
        <v>3711682262.400001</v>
      </c>
      <c r="J23" s="70">
        <f t="shared" si="4"/>
        <v>3711682262.400001</v>
      </c>
      <c r="K23" s="70">
        <f t="shared" si="4"/>
        <v>3711682262.400001</v>
      </c>
      <c r="L23" s="70">
        <f t="shared" si="4"/>
        <v>3711682262.400001</v>
      </c>
      <c r="M23" s="54">
        <f t="shared" si="4"/>
        <v>3711682262.400001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DDCC-8A50-412C-9C7D-A3E77107DF6D}">
  <dimension ref="A1:R115"/>
  <sheetViews>
    <sheetView topLeftCell="D1" zoomScale="85" zoomScaleNormal="85" workbookViewId="0">
      <selection activeCell="N12" sqref="N12"/>
    </sheetView>
  </sheetViews>
  <sheetFormatPr baseColWidth="10" defaultRowHeight="15" x14ac:dyDescent="0.25"/>
  <cols>
    <col min="1" max="1" width="4.5703125" bestFit="1" customWidth="1"/>
    <col min="2" max="2" width="19.28515625" customWidth="1"/>
    <col min="3" max="3" width="20" bestFit="1" customWidth="1"/>
    <col min="4" max="4" width="18.28515625" bestFit="1" customWidth="1"/>
    <col min="5" max="5" width="18.28515625" customWidth="1"/>
    <col min="6" max="6" width="16.7109375" bestFit="1" customWidth="1"/>
    <col min="7" max="7" width="18.85546875" bestFit="1" customWidth="1"/>
    <col min="8" max="9" width="19.28515625" bestFit="1" customWidth="1"/>
    <col min="11" max="11" width="4.42578125" customWidth="1"/>
    <col min="12" max="14" width="19.28515625" bestFit="1" customWidth="1"/>
    <col min="15" max="15" width="18.28515625" bestFit="1" customWidth="1"/>
    <col min="16" max="16" width="19.28515625" bestFit="1" customWidth="1"/>
    <col min="17" max="17" width="18.28515625" bestFit="1" customWidth="1"/>
    <col min="18" max="18" width="19.28515625" bestFit="1" customWidth="1"/>
  </cols>
  <sheetData>
    <row r="1" spans="1:18" ht="15.75" thickBot="1" x14ac:dyDescent="0.3">
      <c r="A1" s="89" t="s">
        <v>204</v>
      </c>
      <c r="B1" s="90" t="s">
        <v>209</v>
      </c>
      <c r="C1" s="87" t="s">
        <v>210</v>
      </c>
      <c r="D1" s="87" t="s">
        <v>211</v>
      </c>
      <c r="E1" s="87" t="s">
        <v>276</v>
      </c>
      <c r="F1" s="87" t="s">
        <v>214</v>
      </c>
      <c r="G1" s="87" t="s">
        <v>212</v>
      </c>
      <c r="H1" s="87" t="s">
        <v>213</v>
      </c>
      <c r="I1" s="88" t="s">
        <v>279</v>
      </c>
      <c r="K1" s="86" t="s">
        <v>238</v>
      </c>
      <c r="L1" s="87" t="s">
        <v>239</v>
      </c>
      <c r="M1" s="87" t="s">
        <v>240</v>
      </c>
      <c r="N1" s="87" t="s">
        <v>213</v>
      </c>
      <c r="O1" s="87" t="s">
        <v>241</v>
      </c>
      <c r="P1" s="87" t="s">
        <v>242</v>
      </c>
      <c r="Q1" s="87" t="s">
        <v>243</v>
      </c>
      <c r="R1" s="88" t="s">
        <v>244</v>
      </c>
    </row>
    <row r="2" spans="1:18" x14ac:dyDescent="0.25">
      <c r="A2" s="85">
        <v>0</v>
      </c>
      <c r="B2" s="56">
        <v>0</v>
      </c>
      <c r="C2" s="97">
        <f>Infraestructura!E37</f>
        <v>455222001.19999993</v>
      </c>
      <c r="D2" s="58">
        <f>Costos!B7</f>
        <v>1514967705.1320002</v>
      </c>
      <c r="E2" s="58">
        <f>Costos!$F$2</f>
        <v>74202499.843200013</v>
      </c>
      <c r="F2" s="58">
        <v>0</v>
      </c>
      <c r="G2" s="58">
        <f>F2+D2+E2+C2</f>
        <v>2044392206.1752</v>
      </c>
      <c r="H2" s="58">
        <f t="shared" ref="H2:H33" si="0">B2-G2</f>
        <v>-2044392206.1752</v>
      </c>
      <c r="I2" s="52">
        <f>H2</f>
        <v>-2044392206.1752</v>
      </c>
      <c r="K2" s="56">
        <v>0</v>
      </c>
      <c r="L2" s="57">
        <v>0</v>
      </c>
      <c r="M2" s="58">
        <f>G2</f>
        <v>2044392206.1752</v>
      </c>
      <c r="N2" s="58">
        <f>H2</f>
        <v>-2044392206.1752</v>
      </c>
      <c r="O2" s="59">
        <v>0</v>
      </c>
      <c r="P2" s="58">
        <f>N2-O2</f>
        <v>-2044392206.1752</v>
      </c>
      <c r="Q2" s="59">
        <v>0</v>
      </c>
      <c r="R2" s="60">
        <f>P2-Q2</f>
        <v>-2044392206.1752</v>
      </c>
    </row>
    <row r="3" spans="1:18" x14ac:dyDescent="0.25">
      <c r="A3" s="64">
        <v>1</v>
      </c>
      <c r="B3" s="98" cm="1">
        <f t="array" ref="B3:B14">TRANSPOSE(Ventas!B7:M7)</f>
        <v>900000000</v>
      </c>
      <c r="C3" s="21">
        <f>Infraestructura!$E$36</f>
        <v>81539401.689999998</v>
      </c>
      <c r="D3" s="22">
        <f>Costos!C7</f>
        <v>1514967705.1320002</v>
      </c>
      <c r="E3" s="48">
        <f>Costos!$F$2</f>
        <v>74202499.843200013</v>
      </c>
      <c r="F3" s="22">
        <f>Nómina!$C$33</f>
        <v>77050667.630271986</v>
      </c>
      <c r="G3" s="48">
        <f t="shared" ref="G3:G62" si="1">F3+D3+E3+C3</f>
        <v>1747760274.2954721</v>
      </c>
      <c r="H3" s="22">
        <f t="shared" si="0"/>
        <v>-847760274.29547215</v>
      </c>
      <c r="I3" s="53">
        <f>I2+H3</f>
        <v>-2892152480.4706721</v>
      </c>
      <c r="K3" s="43">
        <v>1</v>
      </c>
      <c r="L3" s="22">
        <f>SUM(_xlfn.ANCHORARRAY(B3))</f>
        <v>25960000000</v>
      </c>
      <c r="M3" s="22">
        <f>SUM(G3:G14)</f>
        <v>20973123291.545658</v>
      </c>
      <c r="N3" s="22">
        <f>SUM(H3:H14)</f>
        <v>4986876708.4543343</v>
      </c>
      <c r="O3" s="22">
        <f>N3*19%</f>
        <v>947506574.60632348</v>
      </c>
      <c r="P3" s="22">
        <f t="shared" ref="P3:P7" si="2">N3-O3</f>
        <v>4039370133.848011</v>
      </c>
      <c r="Q3" s="22">
        <f>P3*10%</f>
        <v>403937013.38480115</v>
      </c>
      <c r="R3" s="44">
        <f t="shared" ref="R3:R7" si="3">P3-Q3</f>
        <v>3635433120.4632101</v>
      </c>
    </row>
    <row r="4" spans="1:18" x14ac:dyDescent="0.25">
      <c r="A4" s="64">
        <v>2</v>
      </c>
      <c r="B4" s="98">
        <v>1120000000</v>
      </c>
      <c r="C4" s="21">
        <f>Infraestructura!$E$36</f>
        <v>81539401.689999998</v>
      </c>
      <c r="D4" s="22">
        <f>Costos!D7</f>
        <v>1514967705.1320002</v>
      </c>
      <c r="E4" s="48">
        <f>Costos!$F$2</f>
        <v>74202499.843200013</v>
      </c>
      <c r="F4" s="22">
        <f>Nómina!$C$33</f>
        <v>77050667.630271986</v>
      </c>
      <c r="G4" s="48">
        <f t="shared" si="1"/>
        <v>1747760274.2954721</v>
      </c>
      <c r="H4" s="22">
        <f t="shared" si="0"/>
        <v>-627760274.29547215</v>
      </c>
      <c r="I4" s="53">
        <f t="shared" ref="I4:I61" si="4">I3+H4</f>
        <v>-3519912754.7661443</v>
      </c>
      <c r="K4" s="43">
        <v>2</v>
      </c>
      <c r="L4" s="22">
        <f>SUM(_xlfn.ANCHORARRAY(B15))</f>
        <v>40746400000</v>
      </c>
      <c r="M4" s="22">
        <f>SUM(G15:G26)</f>
        <v>22231510689.038406</v>
      </c>
      <c r="N4" s="22">
        <f>SUM(H15:H26)</f>
        <v>18514889310.961594</v>
      </c>
      <c r="O4" s="22">
        <f>N4*19%</f>
        <v>3517828969.0827026</v>
      </c>
      <c r="P4" s="22">
        <f t="shared" si="2"/>
        <v>14997060341.878891</v>
      </c>
      <c r="Q4" s="22">
        <f>P4*10%</f>
        <v>1499706034.1878891</v>
      </c>
      <c r="R4" s="44">
        <f t="shared" si="3"/>
        <v>13497354307.691002</v>
      </c>
    </row>
    <row r="5" spans="1:18" x14ac:dyDescent="0.25">
      <c r="A5" s="64">
        <v>3</v>
      </c>
      <c r="B5" s="98">
        <v>1560000000</v>
      </c>
      <c r="C5" s="21">
        <f>Infraestructura!$E$36</f>
        <v>81539401.689999998</v>
      </c>
      <c r="D5" s="22">
        <f>Costos!E7</f>
        <v>1514967705.1320002</v>
      </c>
      <c r="E5" s="48">
        <f>Costos!$F$2</f>
        <v>74202499.843200013</v>
      </c>
      <c r="F5" s="22">
        <f>Nómina!$C$33</f>
        <v>77050667.630271986</v>
      </c>
      <c r="G5" s="48">
        <f t="shared" si="1"/>
        <v>1747760274.2954721</v>
      </c>
      <c r="H5" s="22">
        <f t="shared" si="0"/>
        <v>-187760274.29547215</v>
      </c>
      <c r="I5" s="53">
        <f t="shared" si="4"/>
        <v>-3707673029.0616164</v>
      </c>
      <c r="K5" s="43">
        <v>3</v>
      </c>
      <c r="L5" s="22">
        <f>SUM(_xlfn.ANCHORARRAY(B27))</f>
        <v>45438384000.000008</v>
      </c>
      <c r="M5" s="22">
        <f>SUM(G27:G38)</f>
        <v>23565401330.380722</v>
      </c>
      <c r="N5" s="22">
        <f>SUM(H27:H38)</f>
        <v>21872982669.619293</v>
      </c>
      <c r="O5" s="22">
        <f t="shared" ref="O5:O7" si="5">N5*19%</f>
        <v>4155866707.2276659</v>
      </c>
      <c r="P5" s="22">
        <f t="shared" si="2"/>
        <v>17717115962.391628</v>
      </c>
      <c r="Q5" s="22">
        <f t="shared" ref="Q5:Q7" si="6">P5*10%</f>
        <v>1771711596.2391629</v>
      </c>
      <c r="R5" s="44">
        <f t="shared" si="3"/>
        <v>15945404366.152466</v>
      </c>
    </row>
    <row r="6" spans="1:18" x14ac:dyDescent="0.25">
      <c r="A6" s="64">
        <v>4</v>
      </c>
      <c r="B6" s="98">
        <v>1800000000</v>
      </c>
      <c r="C6" s="21">
        <f>Infraestructura!$E$36</f>
        <v>81539401.689999998</v>
      </c>
      <c r="D6" s="22">
        <f>Costos!F7</f>
        <v>1514967705.1320002</v>
      </c>
      <c r="E6" s="48">
        <f>Costos!$F$2</f>
        <v>74202499.843200013</v>
      </c>
      <c r="F6" s="22">
        <f>Nómina!$C$33</f>
        <v>77050667.630271986</v>
      </c>
      <c r="G6" s="48">
        <f t="shared" si="1"/>
        <v>1747760274.2954721</v>
      </c>
      <c r="H6" s="22">
        <f t="shared" si="0"/>
        <v>52239725.704527855</v>
      </c>
      <c r="I6" s="53">
        <f t="shared" si="4"/>
        <v>-3655433303.3570886</v>
      </c>
      <c r="K6" s="43">
        <v>4</v>
      </c>
      <c r="L6" s="22">
        <f>SUM(_xlfn.ANCHORARRAY(B39))</f>
        <v>45711194080.000008</v>
      </c>
      <c r="M6" s="22">
        <f>SUM(G39:G50)</f>
        <v>24979325410.203556</v>
      </c>
      <c r="N6" s="22">
        <f>SUM(H39:H50)</f>
        <v>20731868669.796452</v>
      </c>
      <c r="O6" s="22">
        <f t="shared" si="5"/>
        <v>3939055047.2613258</v>
      </c>
      <c r="P6" s="22">
        <f t="shared" si="2"/>
        <v>16792813622.535126</v>
      </c>
      <c r="Q6" s="22">
        <f t="shared" si="6"/>
        <v>1679281362.2535126</v>
      </c>
      <c r="R6" s="44">
        <f t="shared" si="3"/>
        <v>15113532260.281612</v>
      </c>
    </row>
    <row r="7" spans="1:18" ht="15.75" thickBot="1" x14ac:dyDescent="0.3">
      <c r="A7" s="64">
        <v>5</v>
      </c>
      <c r="B7" s="98">
        <v>1960000000</v>
      </c>
      <c r="C7" s="21">
        <f>Infraestructura!$E$36</f>
        <v>81539401.689999998</v>
      </c>
      <c r="D7" s="22">
        <f>Costos!G7</f>
        <v>1514967705.1320002</v>
      </c>
      <c r="E7" s="48">
        <f>Costos!$F$2</f>
        <v>74202499.843200013</v>
      </c>
      <c r="F7" s="22">
        <f>Nómina!$C$33</f>
        <v>77050667.630271986</v>
      </c>
      <c r="G7" s="48">
        <f t="shared" si="1"/>
        <v>1747760274.2954721</v>
      </c>
      <c r="H7" s="22">
        <f t="shared" si="0"/>
        <v>212239725.70452785</v>
      </c>
      <c r="I7" s="53">
        <f t="shared" si="4"/>
        <v>-3443193577.6525607</v>
      </c>
      <c r="K7" s="45">
        <v>5</v>
      </c>
      <c r="L7" s="46">
        <f>SUM(_xlfn.ANCHORARRAY(B51))</f>
        <v>45600667795.200012</v>
      </c>
      <c r="M7" s="46">
        <f>SUM(G51:G62)</f>
        <v>26478084934.815769</v>
      </c>
      <c r="N7" s="46">
        <f>SUM(H51:H62)</f>
        <v>19122582860.384243</v>
      </c>
      <c r="O7" s="46">
        <f t="shared" si="5"/>
        <v>3633290743.4730062</v>
      </c>
      <c r="P7" s="46">
        <f t="shared" si="2"/>
        <v>15489292116.911236</v>
      </c>
      <c r="Q7" s="46">
        <f t="shared" si="6"/>
        <v>1548929211.6911237</v>
      </c>
      <c r="R7" s="47">
        <f t="shared" si="3"/>
        <v>13940362905.220112</v>
      </c>
    </row>
    <row r="8" spans="1:18" x14ac:dyDescent="0.25">
      <c r="A8" s="64">
        <v>6</v>
      </c>
      <c r="B8" s="98">
        <v>2200000000</v>
      </c>
      <c r="C8" s="21">
        <f>Infraestructura!$E$36</f>
        <v>81539401.689999998</v>
      </c>
      <c r="D8" s="22">
        <f>Costos!H7</f>
        <v>1514967705.1320002</v>
      </c>
      <c r="E8" s="48">
        <f>Costos!$F$2</f>
        <v>74202499.843200013</v>
      </c>
      <c r="F8" s="22">
        <f>Nómina!$C$33</f>
        <v>77050667.630271986</v>
      </c>
      <c r="G8" s="48">
        <f t="shared" si="1"/>
        <v>1747760274.2954721</v>
      </c>
      <c r="H8" s="22">
        <f t="shared" si="0"/>
        <v>452239725.70452785</v>
      </c>
      <c r="I8" s="53">
        <f t="shared" si="4"/>
        <v>-2990953851.9480329</v>
      </c>
      <c r="M8" s="91" t="s">
        <v>245</v>
      </c>
      <c r="N8" s="52">
        <f>NPV(6%,N3:N7)+N2</f>
        <v>68214460192.19429</v>
      </c>
      <c r="R8" s="55">
        <f>NPV(6%,R3:R7)+R2</f>
        <v>49174311192.23616</v>
      </c>
    </row>
    <row r="9" spans="1:18" x14ac:dyDescent="0.25">
      <c r="A9" s="64">
        <v>7</v>
      </c>
      <c r="B9" s="98">
        <v>2400000000</v>
      </c>
      <c r="C9" s="21">
        <f>Infraestructura!$E$36</f>
        <v>81539401.689999998</v>
      </c>
      <c r="D9" s="22">
        <f>Costos!I7</f>
        <v>1514967705.1320002</v>
      </c>
      <c r="E9" s="48">
        <f>Costos!$F$2</f>
        <v>74202499.843200013</v>
      </c>
      <c r="F9" s="22">
        <f>Nómina!$C$33</f>
        <v>77050667.630271986</v>
      </c>
      <c r="G9" s="48">
        <f t="shared" si="1"/>
        <v>1747760274.2954721</v>
      </c>
      <c r="H9" s="22">
        <f t="shared" si="0"/>
        <v>652239725.70452785</v>
      </c>
      <c r="I9" s="53">
        <f t="shared" si="4"/>
        <v>-2338714126.243505</v>
      </c>
      <c r="M9" s="92" t="s">
        <v>246</v>
      </c>
      <c r="N9" s="53">
        <f>0.2374*N8</f>
        <v>16194112849.626925</v>
      </c>
      <c r="R9" s="49">
        <f>0.2374*R8</f>
        <v>11673981477.036865</v>
      </c>
    </row>
    <row r="10" spans="1:18" ht="15.75" thickBot="1" x14ac:dyDescent="0.3">
      <c r="A10" s="64">
        <v>8</v>
      </c>
      <c r="B10" s="98">
        <v>2700000000</v>
      </c>
      <c r="C10" s="21">
        <f>Infraestructura!$E$36</f>
        <v>81539401.689999998</v>
      </c>
      <c r="D10" s="22">
        <f>Costos!J7</f>
        <v>1514967705.1320002</v>
      </c>
      <c r="E10" s="48">
        <f>Costos!$F$2</f>
        <v>74202499.843200013</v>
      </c>
      <c r="F10" s="22">
        <f>Nómina!$C$33</f>
        <v>77050667.630271986</v>
      </c>
      <c r="G10" s="48">
        <f t="shared" si="1"/>
        <v>1747760274.2954721</v>
      </c>
      <c r="H10" s="22">
        <f t="shared" si="0"/>
        <v>952239725.70452785</v>
      </c>
      <c r="I10" s="53">
        <f t="shared" si="4"/>
        <v>-1386474400.5389771</v>
      </c>
      <c r="M10" s="93" t="s">
        <v>247</v>
      </c>
      <c r="N10" s="54">
        <f>1.3382 *N8</f>
        <v>91284590629.194397</v>
      </c>
      <c r="P10" s="13"/>
      <c r="R10" s="50">
        <f>1.3382 *R8</f>
        <v>65805063237.450432</v>
      </c>
    </row>
    <row r="11" spans="1:18" ht="15.75" thickBot="1" x14ac:dyDescent="0.3">
      <c r="A11" s="64">
        <v>9</v>
      </c>
      <c r="B11" s="98">
        <v>2740000000</v>
      </c>
      <c r="C11" s="21">
        <f>Infraestructura!$E$36</f>
        <v>81539401.689999998</v>
      </c>
      <c r="D11" s="22">
        <f>Costos!K7</f>
        <v>1514967705.1320002</v>
      </c>
      <c r="E11" s="48">
        <f>Costos!$F$2</f>
        <v>74202499.843200013</v>
      </c>
      <c r="F11" s="22">
        <f>Nómina!$C$33</f>
        <v>77050667.630271986</v>
      </c>
      <c r="G11" s="48">
        <f t="shared" si="1"/>
        <v>1747760274.2954721</v>
      </c>
      <c r="H11" s="22">
        <f t="shared" si="0"/>
        <v>992239725.70452785</v>
      </c>
      <c r="I11" s="53">
        <f t="shared" si="4"/>
        <v>-394234674.83444929</v>
      </c>
      <c r="N11" s="13"/>
    </row>
    <row r="12" spans="1:18" ht="15.75" thickBot="1" x14ac:dyDescent="0.3">
      <c r="A12" s="64">
        <v>10</v>
      </c>
      <c r="B12" s="98">
        <v>2780000000</v>
      </c>
      <c r="C12" s="21">
        <f>Infraestructura!$E$36</f>
        <v>81539401.689999998</v>
      </c>
      <c r="D12" s="22">
        <f>Costos!L7</f>
        <v>1514967705.1320002</v>
      </c>
      <c r="E12" s="48">
        <f>Costos!$F$2</f>
        <v>74202499.843200013</v>
      </c>
      <c r="F12" s="22">
        <f>Nómina!$C$33</f>
        <v>77050667.630271986</v>
      </c>
      <c r="G12" s="48">
        <f t="shared" si="1"/>
        <v>1747760274.2954721</v>
      </c>
      <c r="H12" s="22">
        <f t="shared" si="0"/>
        <v>1032239725.7045279</v>
      </c>
      <c r="I12" s="53">
        <f t="shared" si="4"/>
        <v>638005050.87007856</v>
      </c>
      <c r="M12" s="94" t="s">
        <v>273</v>
      </c>
      <c r="N12" s="95">
        <f>IRR(H2:H62)</f>
        <v>0.1593491995082974</v>
      </c>
    </row>
    <row r="13" spans="1:18" x14ac:dyDescent="0.25">
      <c r="A13" s="64">
        <v>11</v>
      </c>
      <c r="B13" s="98">
        <v>2860000000</v>
      </c>
      <c r="C13" s="21">
        <f>Infraestructura!$E$36</f>
        <v>81539401.689999998</v>
      </c>
      <c r="D13" s="22">
        <f>Costos!M7</f>
        <v>1514967705.1320002</v>
      </c>
      <c r="E13" s="48">
        <f>Costos!$F$2</f>
        <v>74202499.843200013</v>
      </c>
      <c r="F13" s="22">
        <f>Nómina!$C$33</f>
        <v>77050667.630271986</v>
      </c>
      <c r="G13" s="48">
        <f t="shared" si="1"/>
        <v>1747760274.2954721</v>
      </c>
      <c r="H13" s="22">
        <f t="shared" si="0"/>
        <v>1112239725.7045279</v>
      </c>
      <c r="I13" s="53">
        <f t="shared" si="4"/>
        <v>1750244776.5746064</v>
      </c>
      <c r="N13" s="24"/>
    </row>
    <row r="14" spans="1:18" x14ac:dyDescent="0.25">
      <c r="A14" s="64">
        <v>12</v>
      </c>
      <c r="B14" s="98">
        <v>2940000000</v>
      </c>
      <c r="C14" s="21">
        <f>Infraestructura!$E$36</f>
        <v>81539401.689999998</v>
      </c>
      <c r="D14" s="22">
        <f>Costos!N7</f>
        <v>1514967705.1320002</v>
      </c>
      <c r="E14" s="48">
        <f>Costos!$F$2</f>
        <v>74202499.843200013</v>
      </c>
      <c r="F14" s="22">
        <f>Nómina!$C$33</f>
        <v>77050667.630271986</v>
      </c>
      <c r="G14" s="48">
        <f t="shared" si="1"/>
        <v>1747760274.2954721</v>
      </c>
      <c r="H14" s="22">
        <f t="shared" si="0"/>
        <v>1192239725.7045279</v>
      </c>
      <c r="I14" s="53">
        <f t="shared" si="4"/>
        <v>2942484502.2791343</v>
      </c>
    </row>
    <row r="15" spans="1:18" x14ac:dyDescent="0.25">
      <c r="A15" s="64">
        <v>13</v>
      </c>
      <c r="B15" s="98" cm="1">
        <f t="array" ref="B15:B26">TRANSPOSE(Ventas!B11:M11)</f>
        <v>3116400000</v>
      </c>
      <c r="C15" s="21">
        <f>Infraestructura!$E$36*1.06</f>
        <v>86431765.7914</v>
      </c>
      <c r="D15" s="22">
        <f>Costos!C11</f>
        <v>1605865767.4399202</v>
      </c>
      <c r="E15" s="22">
        <f>Costos!$G$2</f>
        <v>78654649.833792016</v>
      </c>
      <c r="F15" s="22">
        <f>Nómina!$C$33*1.06</f>
        <v>81673707.688088313</v>
      </c>
      <c r="G15" s="48">
        <f t="shared" si="1"/>
        <v>1852625890.7532005</v>
      </c>
      <c r="H15" s="22">
        <f t="shared" si="0"/>
        <v>1263774109.2467995</v>
      </c>
      <c r="I15" s="53">
        <f t="shared" si="4"/>
        <v>4206258611.5259337</v>
      </c>
    </row>
    <row r="16" spans="1:18" x14ac:dyDescent="0.25">
      <c r="A16" s="64">
        <v>14</v>
      </c>
      <c r="B16" s="98">
        <v>3116400000</v>
      </c>
      <c r="C16" s="21">
        <f>Infraestructura!$E$36*1.06</f>
        <v>86431765.7914</v>
      </c>
      <c r="D16" s="22">
        <f>Costos!D11</f>
        <v>1605865767.4399202</v>
      </c>
      <c r="E16" s="22">
        <f>Costos!$G$2</f>
        <v>78654649.833792016</v>
      </c>
      <c r="F16" s="22">
        <f>Nómina!$C$33*1.06</f>
        <v>81673707.688088313</v>
      </c>
      <c r="G16" s="48">
        <f t="shared" si="1"/>
        <v>1852625890.7532005</v>
      </c>
      <c r="H16" s="22">
        <f t="shared" si="0"/>
        <v>1263774109.2467995</v>
      </c>
      <c r="I16" s="53">
        <f t="shared" si="4"/>
        <v>5470032720.7727337</v>
      </c>
      <c r="L16" s="13"/>
    </row>
    <row r="17" spans="1:13" x14ac:dyDescent="0.25">
      <c r="A17" s="64">
        <v>15</v>
      </c>
      <c r="B17" s="98">
        <v>3180000000</v>
      </c>
      <c r="C17" s="21">
        <f>Infraestructura!$E$36*1.06</f>
        <v>86431765.7914</v>
      </c>
      <c r="D17" s="22">
        <f>Costos!E11</f>
        <v>1605865767.4399202</v>
      </c>
      <c r="E17" s="22">
        <f>Costos!$G$2</f>
        <v>78654649.833792016</v>
      </c>
      <c r="F17" s="22">
        <f>Nómina!$C$33*1.06</f>
        <v>81673707.688088313</v>
      </c>
      <c r="G17" s="48">
        <f t="shared" si="1"/>
        <v>1852625890.7532005</v>
      </c>
      <c r="H17" s="22">
        <f t="shared" si="0"/>
        <v>1327374109.2467995</v>
      </c>
      <c r="I17" s="53">
        <f t="shared" si="4"/>
        <v>6797406830.0195332</v>
      </c>
    </row>
    <row r="18" spans="1:13" x14ac:dyDescent="0.25">
      <c r="A18" s="64">
        <v>16</v>
      </c>
      <c r="B18" s="98">
        <v>3286000000</v>
      </c>
      <c r="C18" s="21">
        <f>Infraestructura!$E$36*1.06</f>
        <v>86431765.7914</v>
      </c>
      <c r="D18" s="22">
        <f>Costos!F11</f>
        <v>1605865767.4399202</v>
      </c>
      <c r="E18" s="22">
        <f>Costos!$G$2</f>
        <v>78654649.833792016</v>
      </c>
      <c r="F18" s="22">
        <f>Nómina!$C$33*1.06</f>
        <v>81673707.688088313</v>
      </c>
      <c r="G18" s="48">
        <f t="shared" si="1"/>
        <v>1852625890.7532005</v>
      </c>
      <c r="H18" s="22">
        <f t="shared" si="0"/>
        <v>1433374109.2467995</v>
      </c>
      <c r="I18" s="53">
        <f t="shared" si="4"/>
        <v>8230780939.2663326</v>
      </c>
    </row>
    <row r="19" spans="1:13" x14ac:dyDescent="0.25">
      <c r="A19" s="64">
        <v>17</v>
      </c>
      <c r="B19" s="98">
        <v>3392000000</v>
      </c>
      <c r="C19" s="21">
        <f>Infraestructura!$E$36*1.06</f>
        <v>86431765.7914</v>
      </c>
      <c r="D19" s="22">
        <f>Costos!G11</f>
        <v>1605865767.4399202</v>
      </c>
      <c r="E19" s="22">
        <f>Costos!$G$2</f>
        <v>78654649.833792016</v>
      </c>
      <c r="F19" s="22">
        <f>Nómina!$C$33*1.06</f>
        <v>81673707.688088313</v>
      </c>
      <c r="G19" s="48">
        <f t="shared" si="1"/>
        <v>1852625890.7532005</v>
      </c>
      <c r="H19" s="22">
        <f t="shared" si="0"/>
        <v>1539374109.2467995</v>
      </c>
      <c r="I19" s="53">
        <f t="shared" si="4"/>
        <v>9770155048.5131321</v>
      </c>
    </row>
    <row r="20" spans="1:13" x14ac:dyDescent="0.25">
      <c r="A20" s="64">
        <v>18</v>
      </c>
      <c r="B20" s="98">
        <v>3498000000</v>
      </c>
      <c r="C20" s="21">
        <f>Infraestructura!$E$36*1.06</f>
        <v>86431765.7914</v>
      </c>
      <c r="D20" s="22">
        <f>Costos!H11</f>
        <v>1605865767.4399202</v>
      </c>
      <c r="E20" s="22">
        <f>Costos!$G$2</f>
        <v>78654649.833792016</v>
      </c>
      <c r="F20" s="22">
        <f>Nómina!$C$33*1.06</f>
        <v>81673707.688088313</v>
      </c>
      <c r="G20" s="48">
        <f t="shared" si="1"/>
        <v>1852625890.7532005</v>
      </c>
      <c r="H20" s="22">
        <f t="shared" si="0"/>
        <v>1645374109.2467995</v>
      </c>
      <c r="I20" s="53">
        <f t="shared" si="4"/>
        <v>11415529157.759932</v>
      </c>
    </row>
    <row r="21" spans="1:13" x14ac:dyDescent="0.25">
      <c r="A21" s="64">
        <v>19</v>
      </c>
      <c r="B21" s="98">
        <v>3498000000</v>
      </c>
      <c r="C21" s="21">
        <f>Infraestructura!$E$36*1.06</f>
        <v>86431765.7914</v>
      </c>
      <c r="D21" s="22">
        <f>Costos!I11</f>
        <v>1605865767.4399202</v>
      </c>
      <c r="E21" s="22">
        <f>Costos!$G$2</f>
        <v>78654649.833792016</v>
      </c>
      <c r="F21" s="22">
        <f>Nómina!$C$33*1.06</f>
        <v>81673707.688088313</v>
      </c>
      <c r="G21" s="48">
        <f t="shared" si="1"/>
        <v>1852625890.7532005</v>
      </c>
      <c r="H21" s="22">
        <f t="shared" si="0"/>
        <v>1645374109.2467995</v>
      </c>
      <c r="I21" s="53">
        <f t="shared" si="4"/>
        <v>13060903267.006731</v>
      </c>
    </row>
    <row r="22" spans="1:13" x14ac:dyDescent="0.25">
      <c r="A22" s="64">
        <v>20</v>
      </c>
      <c r="B22" s="98">
        <v>3392000000</v>
      </c>
      <c r="C22" s="21">
        <f>Infraestructura!$E$36*1.06</f>
        <v>86431765.7914</v>
      </c>
      <c r="D22" s="22">
        <f>Costos!J11</f>
        <v>1605865767.4399202</v>
      </c>
      <c r="E22" s="22">
        <f>Costos!$G$2</f>
        <v>78654649.833792016</v>
      </c>
      <c r="F22" s="22">
        <f>Nómina!$C$33*1.06</f>
        <v>81673707.688088313</v>
      </c>
      <c r="G22" s="48">
        <f t="shared" si="1"/>
        <v>1852625890.7532005</v>
      </c>
      <c r="H22" s="22">
        <f t="shared" si="0"/>
        <v>1539374109.2467995</v>
      </c>
      <c r="I22" s="53">
        <f t="shared" si="4"/>
        <v>14600277376.253531</v>
      </c>
    </row>
    <row r="23" spans="1:13" x14ac:dyDescent="0.25">
      <c r="A23" s="64">
        <v>21</v>
      </c>
      <c r="B23" s="98">
        <v>3498000000</v>
      </c>
      <c r="C23" s="21">
        <f>Infraestructura!$E$36*1.06</f>
        <v>86431765.7914</v>
      </c>
      <c r="D23" s="22">
        <f>Costos!K11</f>
        <v>1605865767.4399202</v>
      </c>
      <c r="E23" s="22">
        <f>Costos!$G$2</f>
        <v>78654649.833792016</v>
      </c>
      <c r="F23" s="22">
        <f>Nómina!$C$33*1.06</f>
        <v>81673707.688088313</v>
      </c>
      <c r="G23" s="48">
        <f t="shared" si="1"/>
        <v>1852625890.7532005</v>
      </c>
      <c r="H23" s="22">
        <f t="shared" si="0"/>
        <v>1645374109.2467995</v>
      </c>
      <c r="I23" s="53">
        <f t="shared" si="4"/>
        <v>16245651485.50033</v>
      </c>
    </row>
    <row r="24" spans="1:13" x14ac:dyDescent="0.25">
      <c r="A24" s="64">
        <v>22</v>
      </c>
      <c r="B24" s="98">
        <v>3604000000</v>
      </c>
      <c r="C24" s="21">
        <f>Infraestructura!$E$36*1.06</f>
        <v>86431765.7914</v>
      </c>
      <c r="D24" s="22">
        <f>Costos!L11</f>
        <v>1605865767.4399202</v>
      </c>
      <c r="E24" s="22">
        <f>Costos!$G$2</f>
        <v>78654649.833792016</v>
      </c>
      <c r="F24" s="22">
        <f>Nómina!$C$33*1.06</f>
        <v>81673707.688088313</v>
      </c>
      <c r="G24" s="48">
        <f t="shared" si="1"/>
        <v>1852625890.7532005</v>
      </c>
      <c r="H24" s="22">
        <f t="shared" si="0"/>
        <v>1751374109.2467995</v>
      </c>
      <c r="I24" s="53">
        <f t="shared" si="4"/>
        <v>17997025594.747131</v>
      </c>
      <c r="M24" s="24"/>
    </row>
    <row r="25" spans="1:13" x14ac:dyDescent="0.25">
      <c r="A25" s="64">
        <v>23</v>
      </c>
      <c r="B25" s="98">
        <v>3773600000</v>
      </c>
      <c r="C25" s="21">
        <f>Infraestructura!$E$36*1.06</f>
        <v>86431765.7914</v>
      </c>
      <c r="D25" s="22">
        <f>Costos!M11</f>
        <v>1605865767.4399202</v>
      </c>
      <c r="E25" s="22">
        <f>Costos!$G$2</f>
        <v>78654649.833792016</v>
      </c>
      <c r="F25" s="22">
        <f>Nómina!$C$33*1.06</f>
        <v>81673707.688088313</v>
      </c>
      <c r="G25" s="48">
        <f t="shared" si="1"/>
        <v>1852625890.7532005</v>
      </c>
      <c r="H25" s="22">
        <f t="shared" si="0"/>
        <v>1920974109.2467995</v>
      </c>
      <c r="I25" s="53">
        <f t="shared" si="4"/>
        <v>19917999703.993931</v>
      </c>
    </row>
    <row r="26" spans="1:13" x14ac:dyDescent="0.25">
      <c r="A26" s="64">
        <v>24</v>
      </c>
      <c r="B26" s="98">
        <v>3392000000</v>
      </c>
      <c r="C26" s="21">
        <f>Infraestructura!$E$36*1.06</f>
        <v>86431765.7914</v>
      </c>
      <c r="D26" s="22">
        <f>Costos!N11</f>
        <v>1605865767.4399202</v>
      </c>
      <c r="E26" s="22">
        <f>Costos!$G$2</f>
        <v>78654649.833792016</v>
      </c>
      <c r="F26" s="22">
        <f>Nómina!$C$33*1.06</f>
        <v>81673707.688088313</v>
      </c>
      <c r="G26" s="48">
        <f t="shared" si="1"/>
        <v>1852625890.7532005</v>
      </c>
      <c r="H26" s="22">
        <f t="shared" si="0"/>
        <v>1539374109.2467995</v>
      </c>
      <c r="I26" s="53">
        <f t="shared" si="4"/>
        <v>21457373813.24073</v>
      </c>
    </row>
    <row r="27" spans="1:13" x14ac:dyDescent="0.25">
      <c r="A27" s="64">
        <v>25</v>
      </c>
      <c r="B27" s="98" cm="1">
        <f t="array" ref="B27:B38">TRANSPOSE(Ventas!B15:M15)</f>
        <v>3595520000.0000005</v>
      </c>
      <c r="C27" s="21">
        <f>Infraestructura!$E$36*1.06^2</f>
        <v>91617671.738884017</v>
      </c>
      <c r="D27" s="22">
        <f>Costos!C15</f>
        <v>1702217713.4863157</v>
      </c>
      <c r="E27" s="22">
        <f>Costos!$H$2</f>
        <v>83373928.823819548</v>
      </c>
      <c r="F27" s="22">
        <f>Nómina!$C$33*(1+6%)^2</f>
        <v>86574130.149373621</v>
      </c>
      <c r="G27" s="48">
        <f t="shared" si="1"/>
        <v>1963783444.1983929</v>
      </c>
      <c r="H27" s="22">
        <f t="shared" si="0"/>
        <v>1631736555.8016076</v>
      </c>
      <c r="I27" s="53">
        <f t="shared" si="4"/>
        <v>23089110369.042339</v>
      </c>
    </row>
    <row r="28" spans="1:13" x14ac:dyDescent="0.25">
      <c r="A28" s="64">
        <v>26</v>
      </c>
      <c r="B28" s="98">
        <v>3595520000.0000005</v>
      </c>
      <c r="C28" s="21">
        <f>Infraestructura!$E$36*1.06^2</f>
        <v>91617671.738884017</v>
      </c>
      <c r="D28" s="22">
        <f>Costos!D15</f>
        <v>1702217713.4863157</v>
      </c>
      <c r="E28" s="22">
        <f>Costos!$H$2</f>
        <v>83373928.823819548</v>
      </c>
      <c r="F28" s="22">
        <f>Nómina!$C$33*(1+6%)^2</f>
        <v>86574130.149373621</v>
      </c>
      <c r="G28" s="48">
        <f t="shared" si="1"/>
        <v>1963783444.1983929</v>
      </c>
      <c r="H28" s="22">
        <f t="shared" si="0"/>
        <v>1631736555.8016076</v>
      </c>
      <c r="I28" s="53">
        <f t="shared" si="4"/>
        <v>24720846924.843948</v>
      </c>
    </row>
    <row r="29" spans="1:13" x14ac:dyDescent="0.25">
      <c r="A29" s="64">
        <v>27</v>
      </c>
      <c r="B29" s="98">
        <v>3303384000.0000005</v>
      </c>
      <c r="C29" s="21">
        <f>Infraestructura!$E$36*1.06^2</f>
        <v>91617671.738884017</v>
      </c>
      <c r="D29" s="22">
        <f>Costos!E15</f>
        <v>1702217713.4863157</v>
      </c>
      <c r="E29" s="22">
        <f>Costos!$H$2</f>
        <v>83373928.823819548</v>
      </c>
      <c r="F29" s="22">
        <f>Nómina!$C$33*(1+6%)^2</f>
        <v>86574130.149373621</v>
      </c>
      <c r="G29" s="48">
        <f t="shared" si="1"/>
        <v>1963783444.1983929</v>
      </c>
      <c r="H29" s="22">
        <f t="shared" si="0"/>
        <v>1339600555.8016076</v>
      </c>
      <c r="I29" s="53">
        <f t="shared" si="4"/>
        <v>26060447480.645557</v>
      </c>
    </row>
    <row r="30" spans="1:13" x14ac:dyDescent="0.25">
      <c r="A30" s="64">
        <v>28</v>
      </c>
      <c r="B30" s="98">
        <v>3550576000.0000005</v>
      </c>
      <c r="C30" s="21">
        <f>Infraestructura!$E$36*1.06^2</f>
        <v>91617671.738884017</v>
      </c>
      <c r="D30" s="22">
        <f>Costos!F15</f>
        <v>1702217713.4863157</v>
      </c>
      <c r="E30" s="22">
        <f>Costos!$H$2</f>
        <v>83373928.823819548</v>
      </c>
      <c r="F30" s="22">
        <f>Nómina!$C$33*(1+6%)^2</f>
        <v>86574130.149373621</v>
      </c>
      <c r="G30" s="48">
        <f t="shared" si="1"/>
        <v>1963783444.1983929</v>
      </c>
      <c r="H30" s="22">
        <f t="shared" si="0"/>
        <v>1586792555.8016076</v>
      </c>
      <c r="I30" s="53">
        <f t="shared" si="4"/>
        <v>27647240036.447166</v>
      </c>
    </row>
    <row r="31" spans="1:13" x14ac:dyDescent="0.25">
      <c r="A31" s="64">
        <v>29</v>
      </c>
      <c r="B31" s="98">
        <v>3932600000.0000005</v>
      </c>
      <c r="C31" s="21">
        <f>Infraestructura!$E$36*1.06^2</f>
        <v>91617671.738884017</v>
      </c>
      <c r="D31" s="22">
        <f>Costos!G15</f>
        <v>1702217713.4863157</v>
      </c>
      <c r="E31" s="22">
        <f>Costos!$H$2</f>
        <v>83373928.823819548</v>
      </c>
      <c r="F31" s="22">
        <f>Nómina!$C$33*(1+6%)^2</f>
        <v>86574130.149373621</v>
      </c>
      <c r="G31" s="48">
        <f t="shared" si="1"/>
        <v>1963783444.1983929</v>
      </c>
      <c r="H31" s="22">
        <f t="shared" si="0"/>
        <v>1968816555.8016076</v>
      </c>
      <c r="I31" s="53">
        <f t="shared" si="4"/>
        <v>29616056592.248775</v>
      </c>
    </row>
    <row r="32" spans="1:13" x14ac:dyDescent="0.25">
      <c r="A32" s="64">
        <v>30</v>
      </c>
      <c r="B32" s="98">
        <v>3820240000.0000005</v>
      </c>
      <c r="C32" s="21">
        <f>Infraestructura!$E$36*1.06^2</f>
        <v>91617671.738884017</v>
      </c>
      <c r="D32" s="22">
        <f>Costos!H15</f>
        <v>1702217713.4863157</v>
      </c>
      <c r="E32" s="22">
        <f>Costos!$H$2</f>
        <v>83373928.823819548</v>
      </c>
      <c r="F32" s="22">
        <f>Nómina!$C$33*(1+6%)^2</f>
        <v>86574130.149373621</v>
      </c>
      <c r="G32" s="48">
        <f t="shared" si="1"/>
        <v>1963783444.1983929</v>
      </c>
      <c r="H32" s="22">
        <f t="shared" si="0"/>
        <v>1856456555.8016076</v>
      </c>
      <c r="I32" s="53">
        <f t="shared" si="4"/>
        <v>31472513148.050385</v>
      </c>
    </row>
    <row r="33" spans="1:9" x14ac:dyDescent="0.25">
      <c r="A33" s="64">
        <v>31</v>
      </c>
      <c r="B33" s="98">
        <v>4044960000.0000005</v>
      </c>
      <c r="C33" s="21">
        <f>Infraestructura!$E$36*1.06^2</f>
        <v>91617671.738884017</v>
      </c>
      <c r="D33" s="22">
        <f>Costos!I15</f>
        <v>1702217713.4863157</v>
      </c>
      <c r="E33" s="22">
        <f>Costos!$H$2</f>
        <v>83373928.823819548</v>
      </c>
      <c r="F33" s="22">
        <f>Nómina!$C$33*(1+6%)^2</f>
        <v>86574130.149373621</v>
      </c>
      <c r="G33" s="48">
        <f t="shared" si="1"/>
        <v>1963783444.1983929</v>
      </c>
      <c r="H33" s="22">
        <f t="shared" si="0"/>
        <v>2081176555.8016076</v>
      </c>
      <c r="I33" s="53">
        <f t="shared" si="4"/>
        <v>33553689703.851994</v>
      </c>
    </row>
    <row r="34" spans="1:9" x14ac:dyDescent="0.25">
      <c r="A34" s="64">
        <v>32</v>
      </c>
      <c r="B34" s="98">
        <v>3820240000.0000005</v>
      </c>
      <c r="C34" s="21">
        <f>Infraestructura!$E$36*1.06^2</f>
        <v>91617671.738884017</v>
      </c>
      <c r="D34" s="22">
        <f>Costos!J15</f>
        <v>1702217713.4863157</v>
      </c>
      <c r="E34" s="22">
        <f>Costos!$H$2</f>
        <v>83373928.823819548</v>
      </c>
      <c r="F34" s="22">
        <f>Nómina!$C$33*(1+6%)^2</f>
        <v>86574130.149373621</v>
      </c>
      <c r="G34" s="48">
        <f t="shared" si="1"/>
        <v>1963783444.1983929</v>
      </c>
      <c r="H34" s="22">
        <f t="shared" ref="H34:H65" si="7">B34-G34</f>
        <v>1856456555.8016076</v>
      </c>
      <c r="I34" s="53">
        <f t="shared" si="4"/>
        <v>35410146259.653603</v>
      </c>
    </row>
    <row r="35" spans="1:9" x14ac:dyDescent="0.25">
      <c r="A35" s="64">
        <v>33</v>
      </c>
      <c r="B35" s="98">
        <v>3820240000.0000005</v>
      </c>
      <c r="C35" s="21">
        <f>Infraestructura!$E$36*1.06^2</f>
        <v>91617671.738884017</v>
      </c>
      <c r="D35" s="22">
        <f>Costos!K15</f>
        <v>1702217713.4863157</v>
      </c>
      <c r="E35" s="22">
        <f>Costos!$H$2</f>
        <v>83373928.823819548</v>
      </c>
      <c r="F35" s="22">
        <f>Nómina!$C$33*(1+6%)^2</f>
        <v>86574130.149373621</v>
      </c>
      <c r="G35" s="48">
        <f t="shared" si="1"/>
        <v>1963783444.1983929</v>
      </c>
      <c r="H35" s="22">
        <f t="shared" si="7"/>
        <v>1856456555.8016076</v>
      </c>
      <c r="I35" s="53">
        <f t="shared" si="4"/>
        <v>37266602815.455208</v>
      </c>
    </row>
    <row r="36" spans="1:9" x14ac:dyDescent="0.25">
      <c r="A36" s="64">
        <v>34</v>
      </c>
      <c r="B36" s="98">
        <v>3752824000.0000005</v>
      </c>
      <c r="C36" s="21">
        <f>Infraestructura!$E$36*1.06^2</f>
        <v>91617671.738884017</v>
      </c>
      <c r="D36" s="22">
        <f>Costos!L15</f>
        <v>1702217713.4863157</v>
      </c>
      <c r="E36" s="22">
        <f>Costos!$H$2</f>
        <v>83373928.823819548</v>
      </c>
      <c r="F36" s="22">
        <f>Nómina!$C$33*(1+6%)^2</f>
        <v>86574130.149373621</v>
      </c>
      <c r="G36" s="48">
        <f t="shared" si="1"/>
        <v>1963783444.1983929</v>
      </c>
      <c r="H36" s="22">
        <f t="shared" si="7"/>
        <v>1789040555.8016076</v>
      </c>
      <c r="I36" s="53">
        <f t="shared" si="4"/>
        <v>39055643371.256813</v>
      </c>
    </row>
    <row r="37" spans="1:9" x14ac:dyDescent="0.25">
      <c r="A37" s="64">
        <v>35</v>
      </c>
      <c r="B37" s="98">
        <v>4044960000.0000005</v>
      </c>
      <c r="C37" s="21">
        <f>Infraestructura!$E$36*1.06^2</f>
        <v>91617671.738884017</v>
      </c>
      <c r="D37" s="22">
        <f>Costos!M15</f>
        <v>1702217713.4863157</v>
      </c>
      <c r="E37" s="22">
        <f>Costos!$H$2</f>
        <v>83373928.823819548</v>
      </c>
      <c r="F37" s="22">
        <f>Nómina!$C$33*(1+6%)^2</f>
        <v>86574130.149373621</v>
      </c>
      <c r="G37" s="48">
        <f t="shared" si="1"/>
        <v>1963783444.1983929</v>
      </c>
      <c r="H37" s="22">
        <f t="shared" si="7"/>
        <v>2081176555.8016076</v>
      </c>
      <c r="I37" s="53">
        <f t="shared" si="4"/>
        <v>41136819927.058418</v>
      </c>
    </row>
    <row r="38" spans="1:9" x14ac:dyDescent="0.25">
      <c r="A38" s="64">
        <v>36</v>
      </c>
      <c r="B38" s="98">
        <v>4157320000.0000005</v>
      </c>
      <c r="C38" s="21">
        <f>Infraestructura!$E$36*1.06^2</f>
        <v>91617671.738884017</v>
      </c>
      <c r="D38" s="22">
        <f>Costos!N15</f>
        <v>1702217713.4863157</v>
      </c>
      <c r="E38" s="22">
        <f>Costos!$H$2</f>
        <v>83373928.823819548</v>
      </c>
      <c r="F38" s="22">
        <f>Nómina!$C$33*(1+6%)^2</f>
        <v>86574130.149373621</v>
      </c>
      <c r="G38" s="48">
        <f t="shared" si="1"/>
        <v>1963783444.1983929</v>
      </c>
      <c r="H38" s="22">
        <f t="shared" si="7"/>
        <v>2193536555.8016076</v>
      </c>
      <c r="I38" s="53">
        <f t="shared" si="4"/>
        <v>43330356482.860023</v>
      </c>
    </row>
    <row r="39" spans="1:9" x14ac:dyDescent="0.25">
      <c r="A39" s="64">
        <v>37</v>
      </c>
      <c r="B39" s="98" cm="1">
        <f t="array" ref="B39:B50">TRANSPOSE(Ventas!B19:M19)</f>
        <v>3930352800.000001</v>
      </c>
      <c r="C39" s="21">
        <f>Infraestructura!$E$36*1.06^3</f>
        <v>97114732.043217063</v>
      </c>
      <c r="D39" s="22">
        <f>Costos!C19</f>
        <v>1804350776.2954948</v>
      </c>
      <c r="E39" s="22">
        <f>Costos!$I$2</f>
        <v>88376364.553248733</v>
      </c>
      <c r="F39" s="22">
        <f>Nómina!$C$33*(1+6%)^3</f>
        <v>91768577.95833604</v>
      </c>
      <c r="G39" s="48">
        <f t="shared" si="1"/>
        <v>2081610450.8502965</v>
      </c>
      <c r="H39" s="22">
        <f t="shared" si="7"/>
        <v>1848742349.1497045</v>
      </c>
      <c r="I39" s="53">
        <f t="shared" si="4"/>
        <v>45179098832.009727</v>
      </c>
    </row>
    <row r="40" spans="1:9" x14ac:dyDescent="0.25">
      <c r="A40" s="64">
        <v>38</v>
      </c>
      <c r="B40" s="98">
        <v>3977993440.000001</v>
      </c>
      <c r="C40" s="21">
        <f>Infraestructura!$E$36*1.06^3</f>
        <v>97114732.043217063</v>
      </c>
      <c r="D40" s="22">
        <f>Costos!D19</f>
        <v>1804350776.2954948</v>
      </c>
      <c r="E40" s="22">
        <f>Costos!$I$2</f>
        <v>88376364.553248733</v>
      </c>
      <c r="F40" s="22">
        <f>Nómina!$C$33*(1+6%)^3</f>
        <v>91768577.95833604</v>
      </c>
      <c r="G40" s="48">
        <f t="shared" si="1"/>
        <v>2081610450.8502965</v>
      </c>
      <c r="H40" s="22">
        <f t="shared" si="7"/>
        <v>1896382989.1497045</v>
      </c>
      <c r="I40" s="53">
        <f t="shared" si="4"/>
        <v>47075481821.159431</v>
      </c>
    </row>
    <row r="41" spans="1:9" x14ac:dyDescent="0.25">
      <c r="A41" s="64">
        <v>39</v>
      </c>
      <c r="B41" s="98">
        <v>3715969920.000001</v>
      </c>
      <c r="C41" s="21">
        <f>Infraestructura!$E$36*1.06^3</f>
        <v>97114732.043217063</v>
      </c>
      <c r="D41" s="22">
        <f>Costos!E19</f>
        <v>1804350776.2954948</v>
      </c>
      <c r="E41" s="22">
        <f>Costos!$I$2</f>
        <v>88376364.553248733</v>
      </c>
      <c r="F41" s="22">
        <f>Nómina!$C$33*(1+6%)^3</f>
        <v>91768577.95833604</v>
      </c>
      <c r="G41" s="48">
        <f t="shared" si="1"/>
        <v>2081610450.8502965</v>
      </c>
      <c r="H41" s="22">
        <f t="shared" si="7"/>
        <v>1634359469.1497045</v>
      </c>
      <c r="I41" s="53">
        <f t="shared" si="4"/>
        <v>48709841290.309135</v>
      </c>
    </row>
    <row r="42" spans="1:9" x14ac:dyDescent="0.25">
      <c r="A42" s="64">
        <v>40</v>
      </c>
      <c r="B42" s="98">
        <v>3787430880.000001</v>
      </c>
      <c r="C42" s="21">
        <f>Infraestructura!$E$36*1.06^3</f>
        <v>97114732.043217063</v>
      </c>
      <c r="D42" s="22">
        <f>Costos!F19</f>
        <v>1804350776.2954948</v>
      </c>
      <c r="E42" s="22">
        <f>Costos!$I$2</f>
        <v>88376364.553248733</v>
      </c>
      <c r="F42" s="22">
        <f>Nómina!$C$33*(1+6%)^3</f>
        <v>91768577.95833604</v>
      </c>
      <c r="G42" s="48">
        <f t="shared" si="1"/>
        <v>2081610450.8502965</v>
      </c>
      <c r="H42" s="22">
        <f t="shared" si="7"/>
        <v>1705820429.1497045</v>
      </c>
      <c r="I42" s="53">
        <f t="shared" si="4"/>
        <v>50415661719.458839</v>
      </c>
    </row>
    <row r="43" spans="1:9" x14ac:dyDescent="0.25">
      <c r="A43" s="64">
        <v>41</v>
      </c>
      <c r="B43" s="98">
        <v>4144735680.000001</v>
      </c>
      <c r="C43" s="21">
        <f>Infraestructura!$E$36*1.06^3</f>
        <v>97114732.043217063</v>
      </c>
      <c r="D43" s="22">
        <f>Costos!G19</f>
        <v>1804350776.2954948</v>
      </c>
      <c r="E43" s="22">
        <f>Costos!$I$2</f>
        <v>88376364.553248733</v>
      </c>
      <c r="F43" s="22">
        <f>Nómina!$C$33*(1+6%)^3</f>
        <v>91768577.95833604</v>
      </c>
      <c r="G43" s="48">
        <f t="shared" si="1"/>
        <v>2081610450.8502965</v>
      </c>
      <c r="H43" s="22">
        <f t="shared" si="7"/>
        <v>2063125229.1497045</v>
      </c>
      <c r="I43" s="53">
        <f t="shared" si="4"/>
        <v>52478786948.608543</v>
      </c>
    </row>
    <row r="44" spans="1:9" x14ac:dyDescent="0.25">
      <c r="A44" s="64">
        <v>42</v>
      </c>
      <c r="B44" s="98">
        <v>4216196640.000001</v>
      </c>
      <c r="C44" s="21">
        <f>Infraestructura!$E$36*1.06^3</f>
        <v>97114732.043217063</v>
      </c>
      <c r="D44" s="22">
        <f>Costos!H19</f>
        <v>1804350776.2954948</v>
      </c>
      <c r="E44" s="22">
        <f>Costos!$I$2</f>
        <v>88376364.553248733</v>
      </c>
      <c r="F44" s="22">
        <f>Nómina!$C$33*(1+6%)^3</f>
        <v>91768577.95833604</v>
      </c>
      <c r="G44" s="48">
        <f t="shared" si="1"/>
        <v>2081610450.8502965</v>
      </c>
      <c r="H44" s="22">
        <f t="shared" si="7"/>
        <v>2134586189.1497045</v>
      </c>
      <c r="I44" s="53">
        <f t="shared" si="4"/>
        <v>54613373137.758247</v>
      </c>
    </row>
    <row r="45" spans="1:9" x14ac:dyDescent="0.25">
      <c r="A45" s="64">
        <v>43</v>
      </c>
      <c r="B45" s="98">
        <v>4287657600.000001</v>
      </c>
      <c r="C45" s="21">
        <f>Infraestructura!$E$36*1.06^3</f>
        <v>97114732.043217063</v>
      </c>
      <c r="D45" s="22">
        <f>Costos!I19</f>
        <v>1804350776.2954948</v>
      </c>
      <c r="E45" s="22">
        <f>Costos!$I$2</f>
        <v>88376364.553248733</v>
      </c>
      <c r="F45" s="22">
        <f>Nómina!$C$33*(1+6%)^3</f>
        <v>91768577.95833604</v>
      </c>
      <c r="G45" s="48">
        <f t="shared" si="1"/>
        <v>2081610450.8502965</v>
      </c>
      <c r="H45" s="22">
        <f t="shared" si="7"/>
        <v>2206047149.1497045</v>
      </c>
      <c r="I45" s="53">
        <f t="shared" si="4"/>
        <v>56819420286.907951</v>
      </c>
    </row>
    <row r="46" spans="1:9" x14ac:dyDescent="0.25">
      <c r="A46" s="64">
        <v>44</v>
      </c>
      <c r="B46" s="98">
        <v>3549227680.000001</v>
      </c>
      <c r="C46" s="21">
        <f>Infraestructura!$E$36*1.06^3</f>
        <v>97114732.043217063</v>
      </c>
      <c r="D46" s="22">
        <f>Costos!J19</f>
        <v>1804350776.2954948</v>
      </c>
      <c r="E46" s="22">
        <f>Costos!$I$2</f>
        <v>88376364.553248733</v>
      </c>
      <c r="F46" s="22">
        <f>Nómina!$C$33*(1+6%)^3</f>
        <v>91768577.95833604</v>
      </c>
      <c r="G46" s="48">
        <f t="shared" si="1"/>
        <v>2081610450.8502965</v>
      </c>
      <c r="H46" s="22">
        <f t="shared" si="7"/>
        <v>1467617229.1497045</v>
      </c>
      <c r="I46" s="53">
        <f t="shared" si="4"/>
        <v>58287037516.057655</v>
      </c>
    </row>
    <row r="47" spans="1:9" x14ac:dyDescent="0.25">
      <c r="A47" s="64">
        <v>45</v>
      </c>
      <c r="B47" s="98">
        <v>3596868320.000001</v>
      </c>
      <c r="C47" s="21">
        <f>Infraestructura!$E$36*1.06^3</f>
        <v>97114732.043217063</v>
      </c>
      <c r="D47" s="22">
        <f>Costos!K19</f>
        <v>1804350776.2954948</v>
      </c>
      <c r="E47" s="22">
        <f>Costos!$I$2</f>
        <v>88376364.553248733</v>
      </c>
      <c r="F47" s="22">
        <f>Nómina!$C$33*(1+6%)^3</f>
        <v>91768577.95833604</v>
      </c>
      <c r="G47" s="48">
        <f t="shared" si="1"/>
        <v>2081610450.8502965</v>
      </c>
      <c r="H47" s="22">
        <f t="shared" si="7"/>
        <v>1515257869.1497045</v>
      </c>
      <c r="I47" s="53">
        <f t="shared" si="4"/>
        <v>59802295385.207359</v>
      </c>
    </row>
    <row r="48" spans="1:9" x14ac:dyDescent="0.25">
      <c r="A48" s="64">
        <v>46</v>
      </c>
      <c r="B48" s="98">
        <v>3501587040.000001</v>
      </c>
      <c r="C48" s="21">
        <f>Infraestructura!$E$36*1.06^3</f>
        <v>97114732.043217063</v>
      </c>
      <c r="D48" s="22">
        <f>Costos!L19</f>
        <v>1804350776.2954948</v>
      </c>
      <c r="E48" s="22">
        <f>Costos!$I$2</f>
        <v>88376364.553248733</v>
      </c>
      <c r="F48" s="22">
        <f>Nómina!$C$33*(1+6%)^3</f>
        <v>91768577.95833604</v>
      </c>
      <c r="G48" s="48">
        <f t="shared" si="1"/>
        <v>2081610450.8502965</v>
      </c>
      <c r="H48" s="22">
        <f t="shared" si="7"/>
        <v>1419976589.1497045</v>
      </c>
      <c r="I48" s="53">
        <f t="shared" si="4"/>
        <v>61222271974.357063</v>
      </c>
    </row>
    <row r="49" spans="1:9" x14ac:dyDescent="0.25">
      <c r="A49" s="64">
        <v>47</v>
      </c>
      <c r="B49" s="98">
        <v>3501587040.000001</v>
      </c>
      <c r="C49" s="21">
        <f>Infraestructura!$E$36*1.06^3</f>
        <v>97114732.043217063</v>
      </c>
      <c r="D49" s="22">
        <f>Costos!M19</f>
        <v>1804350776.2954948</v>
      </c>
      <c r="E49" s="22">
        <f>Costos!$I$2</f>
        <v>88376364.553248733</v>
      </c>
      <c r="F49" s="22">
        <f>Nómina!$C$33*(1+6%)^3</f>
        <v>91768577.95833604</v>
      </c>
      <c r="G49" s="48">
        <f t="shared" si="1"/>
        <v>2081610450.8502965</v>
      </c>
      <c r="H49" s="22">
        <f t="shared" si="7"/>
        <v>1419976589.1497045</v>
      </c>
      <c r="I49" s="53">
        <f t="shared" si="4"/>
        <v>62642248563.506767</v>
      </c>
    </row>
    <row r="50" spans="1:9" x14ac:dyDescent="0.25">
      <c r="A50" s="64">
        <v>48</v>
      </c>
      <c r="B50" s="98">
        <v>3501587040.000001</v>
      </c>
      <c r="C50" s="21">
        <f>Infraestructura!$E$36*1.06^3</f>
        <v>97114732.043217063</v>
      </c>
      <c r="D50" s="22">
        <f>Costos!N19</f>
        <v>1804350776.2954948</v>
      </c>
      <c r="E50" s="22">
        <f>Costos!$I$2</f>
        <v>88376364.553248733</v>
      </c>
      <c r="F50" s="22">
        <f>Nómina!$C$33*(1+6%)^3</f>
        <v>91768577.95833604</v>
      </c>
      <c r="G50" s="48">
        <f t="shared" si="1"/>
        <v>2081610450.8502965</v>
      </c>
      <c r="H50" s="22">
        <f t="shared" si="7"/>
        <v>1419976589.1497045</v>
      </c>
      <c r="I50" s="53">
        <f t="shared" si="4"/>
        <v>64062225152.656471</v>
      </c>
    </row>
    <row r="51" spans="1:9" x14ac:dyDescent="0.25">
      <c r="A51" s="64">
        <v>49</v>
      </c>
      <c r="B51" s="98" cm="1">
        <f t="array" ref="B51:B62">TRANSPOSE(Ventas!B23:M23)</f>
        <v>3863179497.6000009</v>
      </c>
      <c r="C51" s="21">
        <f>Infraestructura!$E$36*1.06^4</f>
        <v>102941615.96581009</v>
      </c>
      <c r="D51" s="22">
        <f>Costos!C23</f>
        <v>1912611822.8732245</v>
      </c>
      <c r="E51" s="22">
        <f>Costos!$J$2</f>
        <v>93678946.426443651</v>
      </c>
      <c r="F51" s="22">
        <f>Nómina!$C$33*(1+6%)^4</f>
        <v>97274692.635836199</v>
      </c>
      <c r="G51" s="48">
        <f t="shared" si="1"/>
        <v>2206507077.9013143</v>
      </c>
      <c r="H51" s="22">
        <f t="shared" si="7"/>
        <v>1656672419.6986866</v>
      </c>
      <c r="I51" s="53">
        <f t="shared" si="4"/>
        <v>65718897572.355156</v>
      </c>
    </row>
    <row r="52" spans="1:9" x14ac:dyDescent="0.25">
      <c r="A52" s="64">
        <v>50</v>
      </c>
      <c r="B52" s="98">
        <v>3787430880.000001</v>
      </c>
      <c r="C52" s="21">
        <f>Infraestructura!$E$36*1.06^4</f>
        <v>102941615.96581009</v>
      </c>
      <c r="D52" s="22">
        <f>Costos!D23</f>
        <v>1912611822.8732245</v>
      </c>
      <c r="E52" s="22">
        <f>Costos!$J$2</f>
        <v>93678946.426443651</v>
      </c>
      <c r="F52" s="22">
        <f>Nómina!$C$33*(1+6%)^4</f>
        <v>97274692.635836199</v>
      </c>
      <c r="G52" s="48">
        <f t="shared" si="1"/>
        <v>2206507077.9013143</v>
      </c>
      <c r="H52" s="22">
        <f t="shared" si="7"/>
        <v>1580923802.0986867</v>
      </c>
      <c r="I52" s="53">
        <f t="shared" si="4"/>
        <v>67299821374.453842</v>
      </c>
    </row>
    <row r="53" spans="1:9" x14ac:dyDescent="0.25">
      <c r="A53" s="64">
        <v>51</v>
      </c>
      <c r="B53" s="98">
        <v>3736931801.6000009</v>
      </c>
      <c r="C53" s="21">
        <f>Infraestructura!$E$36*1.06^4</f>
        <v>102941615.96581009</v>
      </c>
      <c r="D53" s="22">
        <f>Costos!E23</f>
        <v>1912611822.8732245</v>
      </c>
      <c r="E53" s="22">
        <f>Costos!$J$2</f>
        <v>93678946.426443651</v>
      </c>
      <c r="F53" s="22">
        <f>Nómina!$C$33*(1+6%)^4</f>
        <v>97274692.635836199</v>
      </c>
      <c r="G53" s="48">
        <f t="shared" si="1"/>
        <v>2206507077.9013143</v>
      </c>
      <c r="H53" s="22">
        <f t="shared" si="7"/>
        <v>1530424723.6986866</v>
      </c>
      <c r="I53" s="53">
        <f t="shared" si="4"/>
        <v>68830246098.152527</v>
      </c>
    </row>
    <row r="54" spans="1:9" x14ac:dyDescent="0.25">
      <c r="A54" s="64">
        <v>52</v>
      </c>
      <c r="B54" s="98">
        <v>3938928115.2000008</v>
      </c>
      <c r="C54" s="21">
        <f>Infraestructura!$E$36*1.06^4</f>
        <v>102941615.96581009</v>
      </c>
      <c r="D54" s="22">
        <f>Costos!F23</f>
        <v>1912611822.8732245</v>
      </c>
      <c r="E54" s="22">
        <f>Costos!$J$2</f>
        <v>93678946.426443651</v>
      </c>
      <c r="F54" s="22">
        <f>Nómina!$C$33*(1+6%)^4</f>
        <v>97274692.635836199</v>
      </c>
      <c r="G54" s="48">
        <f t="shared" si="1"/>
        <v>2206507077.9013143</v>
      </c>
      <c r="H54" s="22">
        <f t="shared" si="7"/>
        <v>1732421037.2986865</v>
      </c>
      <c r="I54" s="53">
        <f t="shared" si="4"/>
        <v>70562667135.451218</v>
      </c>
    </row>
    <row r="55" spans="1:9" x14ac:dyDescent="0.25">
      <c r="A55" s="64">
        <v>53</v>
      </c>
      <c r="B55" s="98">
        <v>3989427193.6000009</v>
      </c>
      <c r="C55" s="21">
        <f>Infraestructura!$E$36*1.06^4</f>
        <v>102941615.96581009</v>
      </c>
      <c r="D55" s="22">
        <f>Costos!G23</f>
        <v>1912611822.8732245</v>
      </c>
      <c r="E55" s="22">
        <f>Costos!$J$2</f>
        <v>93678946.426443651</v>
      </c>
      <c r="F55" s="22">
        <f>Nómina!$C$33*(1+6%)^4</f>
        <v>97274692.635836199</v>
      </c>
      <c r="G55" s="48">
        <f t="shared" si="1"/>
        <v>2206507077.9013143</v>
      </c>
      <c r="H55" s="22">
        <f t="shared" si="7"/>
        <v>1782920115.6986866</v>
      </c>
      <c r="I55" s="53">
        <f t="shared" si="4"/>
        <v>72345587251.149902</v>
      </c>
    </row>
    <row r="56" spans="1:9" x14ac:dyDescent="0.25">
      <c r="A56" s="64">
        <v>54</v>
      </c>
      <c r="B56" s="98">
        <v>3787430880.000001</v>
      </c>
      <c r="C56" s="21">
        <f>Infraestructura!$E$36*1.06^4</f>
        <v>102941615.96581009</v>
      </c>
      <c r="D56" s="22">
        <f>Costos!H23</f>
        <v>1912611822.8732245</v>
      </c>
      <c r="E56" s="22">
        <f>Costos!$J$2</f>
        <v>93678946.426443651</v>
      </c>
      <c r="F56" s="22">
        <f>Nómina!$C$33*(1+6%)^4</f>
        <v>97274692.635836199</v>
      </c>
      <c r="G56" s="48">
        <f t="shared" si="1"/>
        <v>2206507077.9013143</v>
      </c>
      <c r="H56" s="22">
        <f t="shared" si="7"/>
        <v>1580923802.0986867</v>
      </c>
      <c r="I56" s="53">
        <f t="shared" si="4"/>
        <v>73926511053.248596</v>
      </c>
    </row>
    <row r="57" spans="1:9" x14ac:dyDescent="0.25">
      <c r="A57" s="64">
        <v>55</v>
      </c>
      <c r="B57" s="98">
        <v>3938928115.2000008</v>
      </c>
      <c r="C57" s="21">
        <f>Infraestructura!$E$36*1.06^4</f>
        <v>102941615.96581009</v>
      </c>
      <c r="D57" s="22">
        <f>Costos!I23</f>
        <v>1912611822.8732245</v>
      </c>
      <c r="E57" s="22">
        <f>Costos!$J$2</f>
        <v>93678946.426443651</v>
      </c>
      <c r="F57" s="22">
        <f>Nómina!$C$33*(1+6%)^4</f>
        <v>97274692.635836199</v>
      </c>
      <c r="G57" s="48">
        <f t="shared" si="1"/>
        <v>2206507077.9013143</v>
      </c>
      <c r="H57" s="22">
        <f t="shared" si="7"/>
        <v>1732421037.2986865</v>
      </c>
      <c r="I57" s="53">
        <f t="shared" si="4"/>
        <v>75658932090.547287</v>
      </c>
    </row>
    <row r="58" spans="1:9" x14ac:dyDescent="0.25">
      <c r="A58" s="64">
        <v>56</v>
      </c>
      <c r="B58" s="98">
        <v>3711682262.400001</v>
      </c>
      <c r="C58" s="21">
        <f>Infraestructura!$E$36*1.06^4</f>
        <v>102941615.96581009</v>
      </c>
      <c r="D58" s="22">
        <f>Costos!J23</f>
        <v>1912611822.8732245</v>
      </c>
      <c r="E58" s="22">
        <f>Costos!$J$2</f>
        <v>93678946.426443651</v>
      </c>
      <c r="F58" s="22">
        <f>Nómina!$C$33*(1+6%)^4</f>
        <v>97274692.635836199</v>
      </c>
      <c r="G58" s="48">
        <f t="shared" si="1"/>
        <v>2206507077.9013143</v>
      </c>
      <c r="H58" s="22">
        <f t="shared" si="7"/>
        <v>1505175184.4986868</v>
      </c>
      <c r="I58" s="53">
        <f t="shared" si="4"/>
        <v>77164107275.045975</v>
      </c>
    </row>
    <row r="59" spans="1:9" x14ac:dyDescent="0.25">
      <c r="A59" s="64">
        <v>57</v>
      </c>
      <c r="B59" s="98">
        <v>3711682262.400001</v>
      </c>
      <c r="C59" s="21">
        <f>Infraestructura!$E$36*1.06^4</f>
        <v>102941615.96581009</v>
      </c>
      <c r="D59" s="22">
        <f>Costos!K23</f>
        <v>1912611822.8732245</v>
      </c>
      <c r="E59" s="22">
        <f>Costos!$J$2</f>
        <v>93678946.426443651</v>
      </c>
      <c r="F59" s="22">
        <f>Nómina!$C$33*(1+6%)^4</f>
        <v>97274692.635836199</v>
      </c>
      <c r="G59" s="48">
        <f t="shared" si="1"/>
        <v>2206507077.9013143</v>
      </c>
      <c r="H59" s="22">
        <f t="shared" si="7"/>
        <v>1505175184.4986868</v>
      </c>
      <c r="I59" s="53">
        <f t="shared" si="4"/>
        <v>78669282459.544662</v>
      </c>
    </row>
    <row r="60" spans="1:9" x14ac:dyDescent="0.25">
      <c r="A60" s="64">
        <v>58</v>
      </c>
      <c r="B60" s="98">
        <v>3711682262.400001</v>
      </c>
      <c r="C60" s="21">
        <f>Infraestructura!$E$36*1.06^4</f>
        <v>102941615.96581009</v>
      </c>
      <c r="D60" s="22">
        <f>Costos!L23</f>
        <v>1912611822.8732245</v>
      </c>
      <c r="E60" s="22">
        <f>Costos!$J$2</f>
        <v>93678946.426443651</v>
      </c>
      <c r="F60" s="22">
        <f>Nómina!$C$33*(1+6%)^4</f>
        <v>97274692.635836199</v>
      </c>
      <c r="G60" s="48">
        <f t="shared" si="1"/>
        <v>2206507077.9013143</v>
      </c>
      <c r="H60" s="22">
        <f t="shared" si="7"/>
        <v>1505175184.4986868</v>
      </c>
      <c r="I60" s="53">
        <f t="shared" si="4"/>
        <v>80174457644.04335</v>
      </c>
    </row>
    <row r="61" spans="1:9" x14ac:dyDescent="0.25">
      <c r="A61" s="64">
        <v>59</v>
      </c>
      <c r="B61" s="98">
        <v>3711682262.400001</v>
      </c>
      <c r="C61" s="21">
        <f>Infraestructura!$E$36*1.06^4</f>
        <v>102941615.96581009</v>
      </c>
      <c r="D61" s="22">
        <f>Costos!M23</f>
        <v>1912611822.8732245</v>
      </c>
      <c r="E61" s="22">
        <f>Costos!$J$2</f>
        <v>93678946.426443651</v>
      </c>
      <c r="F61" s="22">
        <f>Nómina!$C$33*(1+6%)^4</f>
        <v>97274692.635836199</v>
      </c>
      <c r="G61" s="48">
        <f t="shared" si="1"/>
        <v>2206507077.9013143</v>
      </c>
      <c r="H61" s="22">
        <f t="shared" si="7"/>
        <v>1505175184.4986868</v>
      </c>
      <c r="I61" s="53">
        <f t="shared" si="4"/>
        <v>81679632828.542038</v>
      </c>
    </row>
    <row r="62" spans="1:9" ht="15.75" thickBot="1" x14ac:dyDescent="0.3">
      <c r="A62" s="65">
        <v>60</v>
      </c>
      <c r="B62" s="99">
        <v>3711682262.400001</v>
      </c>
      <c r="C62" s="66">
        <f>Infraestructura!$E$36*1.06^4</f>
        <v>102941615.96581009</v>
      </c>
      <c r="D62" s="46">
        <f>Costos!N23</f>
        <v>1912611822.8732245</v>
      </c>
      <c r="E62" s="46">
        <f>Costos!$J$2</f>
        <v>93678946.426443651</v>
      </c>
      <c r="F62" s="46">
        <f>Nómina!$C$33*(1+6%)^4</f>
        <v>97274692.635836199</v>
      </c>
      <c r="G62" s="100">
        <f t="shared" si="1"/>
        <v>2206507077.9013143</v>
      </c>
      <c r="H62" s="46">
        <f t="shared" si="7"/>
        <v>1505175184.4986868</v>
      </c>
      <c r="I62" s="54">
        <f>I61+H62</f>
        <v>83184808013.040726</v>
      </c>
    </row>
    <row r="63" spans="1:9" x14ac:dyDescent="0.25">
      <c r="F63" s="24"/>
      <c r="G63" s="24"/>
      <c r="H63" s="24"/>
      <c r="I63" s="24"/>
    </row>
    <row r="64" spans="1:9" x14ac:dyDescent="0.25">
      <c r="G64" s="10" t="s">
        <v>277</v>
      </c>
      <c r="H64" s="101">
        <f>(1+6%)^(1/12)-1</f>
        <v>4.8675505653430484E-3</v>
      </c>
    </row>
    <row r="65" spans="2:8" x14ac:dyDescent="0.25">
      <c r="B65" s="8"/>
      <c r="E65" s="25"/>
      <c r="F65" s="8"/>
      <c r="G65" s="18" t="s">
        <v>278</v>
      </c>
      <c r="H65" s="18">
        <f>NPV($H$64,H2:H62)</f>
        <v>69635082838.090683</v>
      </c>
    </row>
    <row r="66" spans="2:8" x14ac:dyDescent="0.25">
      <c r="G66" s="10" t="s">
        <v>248</v>
      </c>
      <c r="H66" s="18">
        <f>0.01933*H65</f>
        <v>1346046151.260293</v>
      </c>
    </row>
    <row r="67" spans="2:8" x14ac:dyDescent="0.25">
      <c r="G67" s="10" t="s">
        <v>249</v>
      </c>
      <c r="H67" s="18">
        <f>H65*1.3489</f>
        <v>93930763240.300522</v>
      </c>
    </row>
    <row r="115" spans="14:14" x14ac:dyDescent="0.25">
      <c r="N115" s="2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FAC7-9EAB-42A3-A705-2FCA9CB97894}">
  <dimension ref="A1:G72"/>
  <sheetViews>
    <sheetView topLeftCell="A18" zoomScale="85" zoomScaleNormal="85" workbookViewId="0">
      <selection activeCell="R46" sqref="R46"/>
    </sheetView>
  </sheetViews>
  <sheetFormatPr baseColWidth="10" defaultRowHeight="15" x14ac:dyDescent="0.25"/>
  <cols>
    <col min="1" max="1" width="3" bestFit="1" customWidth="1"/>
    <col min="4" max="4" width="11.7109375" bestFit="1" customWidth="1"/>
    <col min="6" max="6" width="12.85546875" bestFit="1" customWidth="1"/>
    <col min="7" max="7" width="19.28515625" bestFit="1" customWidth="1"/>
  </cols>
  <sheetData>
    <row r="1" spans="1:7" ht="15.75" thickBot="1" x14ac:dyDescent="0.3">
      <c r="A1" s="51"/>
      <c r="B1" s="87" t="s">
        <v>261</v>
      </c>
      <c r="C1" s="87" t="s">
        <v>259</v>
      </c>
      <c r="D1" s="87" t="s">
        <v>260</v>
      </c>
      <c r="E1" s="87" t="s">
        <v>254</v>
      </c>
    </row>
    <row r="2" spans="1:7" x14ac:dyDescent="0.25">
      <c r="A2" s="43">
        <v>0</v>
      </c>
      <c r="B2" s="3">
        <v>147</v>
      </c>
      <c r="C2" s="3">
        <v>147</v>
      </c>
      <c r="D2" s="3">
        <v>0</v>
      </c>
      <c r="E2" s="61">
        <f>C2-D2</f>
        <v>147</v>
      </c>
    </row>
    <row r="3" spans="1:7" x14ac:dyDescent="0.25">
      <c r="A3" s="43">
        <v>1</v>
      </c>
      <c r="B3" s="3">
        <v>147</v>
      </c>
      <c r="C3" s="3">
        <f>E2+B3</f>
        <v>294</v>
      </c>
      <c r="D3" s="3" cm="1">
        <f t="array" ref="D3:D14">TRANSPOSE(Ventas!B6:M6)</f>
        <v>45</v>
      </c>
      <c r="E3" s="61">
        <f t="shared" ref="E3:E62" si="0">C3-D3</f>
        <v>249</v>
      </c>
    </row>
    <row r="4" spans="1:7" x14ac:dyDescent="0.25">
      <c r="A4" s="43">
        <v>2</v>
      </c>
      <c r="B4" s="3">
        <v>147</v>
      </c>
      <c r="C4" s="3">
        <f t="shared" ref="C4:C62" si="1">E3+B4</f>
        <v>396</v>
      </c>
      <c r="D4" s="3">
        <v>56</v>
      </c>
      <c r="E4" s="61">
        <f t="shared" si="0"/>
        <v>340</v>
      </c>
    </row>
    <row r="5" spans="1:7" x14ac:dyDescent="0.25">
      <c r="A5" s="43">
        <v>3</v>
      </c>
      <c r="B5" s="3">
        <v>147</v>
      </c>
      <c r="C5" s="3">
        <f t="shared" si="1"/>
        <v>487</v>
      </c>
      <c r="D5" s="3">
        <v>78</v>
      </c>
      <c r="E5" s="61">
        <f t="shared" si="0"/>
        <v>409</v>
      </c>
    </row>
    <row r="6" spans="1:7" x14ac:dyDescent="0.25">
      <c r="A6" s="43">
        <v>4</v>
      </c>
      <c r="B6" s="3">
        <v>147</v>
      </c>
      <c r="C6" s="3">
        <f t="shared" si="1"/>
        <v>556</v>
      </c>
      <c r="D6" s="3">
        <v>90</v>
      </c>
      <c r="E6" s="61">
        <f t="shared" si="0"/>
        <v>466</v>
      </c>
    </row>
    <row r="7" spans="1:7" x14ac:dyDescent="0.25">
      <c r="A7" s="43">
        <v>5</v>
      </c>
      <c r="B7" s="3">
        <v>147</v>
      </c>
      <c r="C7" s="3">
        <f t="shared" si="1"/>
        <v>613</v>
      </c>
      <c r="D7" s="3">
        <v>98</v>
      </c>
      <c r="E7" s="61">
        <f t="shared" si="0"/>
        <v>515</v>
      </c>
    </row>
    <row r="8" spans="1:7" x14ac:dyDescent="0.25">
      <c r="A8" s="43">
        <v>6</v>
      </c>
      <c r="B8" s="3">
        <v>147</v>
      </c>
      <c r="C8" s="3">
        <f t="shared" si="1"/>
        <v>662</v>
      </c>
      <c r="D8" s="3">
        <v>110</v>
      </c>
      <c r="E8" s="61">
        <f t="shared" si="0"/>
        <v>552</v>
      </c>
    </row>
    <row r="9" spans="1:7" x14ac:dyDescent="0.25">
      <c r="A9" s="43">
        <v>7</v>
      </c>
      <c r="B9" s="3">
        <v>147</v>
      </c>
      <c r="C9" s="3">
        <f t="shared" si="1"/>
        <v>699</v>
      </c>
      <c r="D9" s="3">
        <v>120</v>
      </c>
      <c r="E9" s="61">
        <f t="shared" si="0"/>
        <v>579</v>
      </c>
    </row>
    <row r="10" spans="1:7" x14ac:dyDescent="0.25">
      <c r="A10" s="43">
        <v>8</v>
      </c>
      <c r="B10" s="3">
        <v>147</v>
      </c>
      <c r="C10" s="3">
        <f t="shared" si="1"/>
        <v>726</v>
      </c>
      <c r="D10" s="3">
        <v>135</v>
      </c>
      <c r="E10" s="61">
        <f t="shared" si="0"/>
        <v>591</v>
      </c>
    </row>
    <row r="11" spans="1:7" x14ac:dyDescent="0.25">
      <c r="A11" s="43">
        <v>9</v>
      </c>
      <c r="B11" s="3">
        <v>147</v>
      </c>
      <c r="C11" s="3">
        <f t="shared" si="1"/>
        <v>738</v>
      </c>
      <c r="D11" s="3">
        <v>137</v>
      </c>
      <c r="E11" s="61">
        <f t="shared" si="0"/>
        <v>601</v>
      </c>
    </row>
    <row r="12" spans="1:7" x14ac:dyDescent="0.25">
      <c r="A12" s="43">
        <v>10</v>
      </c>
      <c r="B12" s="3">
        <v>147</v>
      </c>
      <c r="C12" s="3">
        <f t="shared" si="1"/>
        <v>748</v>
      </c>
      <c r="D12" s="3">
        <v>139</v>
      </c>
      <c r="E12" s="61">
        <f t="shared" si="0"/>
        <v>609</v>
      </c>
    </row>
    <row r="13" spans="1:7" x14ac:dyDescent="0.25">
      <c r="A13" s="43">
        <v>11</v>
      </c>
      <c r="B13" s="3">
        <v>147</v>
      </c>
      <c r="C13" s="3">
        <f t="shared" si="1"/>
        <v>756</v>
      </c>
      <c r="D13" s="3">
        <v>143</v>
      </c>
      <c r="E13" s="61">
        <f t="shared" si="0"/>
        <v>613</v>
      </c>
    </row>
    <row r="14" spans="1:7" x14ac:dyDescent="0.25">
      <c r="A14" s="43">
        <v>12</v>
      </c>
      <c r="B14" s="3">
        <v>147</v>
      </c>
      <c r="C14" s="3">
        <f t="shared" si="1"/>
        <v>760</v>
      </c>
      <c r="D14" s="3">
        <v>147</v>
      </c>
      <c r="E14" s="61">
        <f t="shared" si="0"/>
        <v>613</v>
      </c>
      <c r="F14" t="s">
        <v>265</v>
      </c>
      <c r="G14" s="13">
        <f>E14*Ventas!$B$2</f>
        <v>12260000000</v>
      </c>
    </row>
    <row r="15" spans="1:7" x14ac:dyDescent="0.25">
      <c r="A15" s="43">
        <v>13</v>
      </c>
      <c r="B15" s="3">
        <v>147</v>
      </c>
      <c r="C15" s="3">
        <f t="shared" si="1"/>
        <v>760</v>
      </c>
      <c r="D15" s="3" cm="1">
        <f t="array" ref="D15:D26">TRANSPOSE(Ventas!B10:M10)</f>
        <v>147</v>
      </c>
      <c r="E15" s="61">
        <f t="shared" si="0"/>
        <v>613</v>
      </c>
    </row>
    <row r="16" spans="1:7" x14ac:dyDescent="0.25">
      <c r="A16" s="43">
        <v>14</v>
      </c>
      <c r="B16" s="3">
        <v>147</v>
      </c>
      <c r="C16" s="3">
        <f t="shared" si="1"/>
        <v>760</v>
      </c>
      <c r="D16" s="3">
        <v>147</v>
      </c>
      <c r="E16" s="61">
        <f t="shared" si="0"/>
        <v>613</v>
      </c>
    </row>
    <row r="17" spans="1:7" x14ac:dyDescent="0.25">
      <c r="A17" s="43">
        <v>15</v>
      </c>
      <c r="B17" s="3">
        <v>147</v>
      </c>
      <c r="C17" s="3">
        <f t="shared" si="1"/>
        <v>760</v>
      </c>
      <c r="D17" s="3">
        <v>150</v>
      </c>
      <c r="E17" s="61">
        <f t="shared" si="0"/>
        <v>610</v>
      </c>
    </row>
    <row r="18" spans="1:7" x14ac:dyDescent="0.25">
      <c r="A18" s="43">
        <v>16</v>
      </c>
      <c r="B18" s="3">
        <v>147</v>
      </c>
      <c r="C18" s="3">
        <f t="shared" si="1"/>
        <v>757</v>
      </c>
      <c r="D18" s="3">
        <v>155</v>
      </c>
      <c r="E18" s="61">
        <f t="shared" si="0"/>
        <v>602</v>
      </c>
    </row>
    <row r="19" spans="1:7" x14ac:dyDescent="0.25">
      <c r="A19" s="43">
        <v>17</v>
      </c>
      <c r="B19" s="3">
        <v>147</v>
      </c>
      <c r="C19" s="3">
        <f t="shared" si="1"/>
        <v>749</v>
      </c>
      <c r="D19" s="3">
        <v>160</v>
      </c>
      <c r="E19" s="61">
        <f t="shared" si="0"/>
        <v>589</v>
      </c>
    </row>
    <row r="20" spans="1:7" x14ac:dyDescent="0.25">
      <c r="A20" s="43">
        <v>18</v>
      </c>
      <c r="B20" s="3">
        <v>147</v>
      </c>
      <c r="C20" s="3">
        <f t="shared" si="1"/>
        <v>736</v>
      </c>
      <c r="D20" s="3">
        <v>165</v>
      </c>
      <c r="E20" s="61">
        <f t="shared" si="0"/>
        <v>571</v>
      </c>
    </row>
    <row r="21" spans="1:7" x14ac:dyDescent="0.25">
      <c r="A21" s="43">
        <v>19</v>
      </c>
      <c r="B21" s="3">
        <v>147</v>
      </c>
      <c r="C21" s="3">
        <f t="shared" si="1"/>
        <v>718</v>
      </c>
      <c r="D21" s="3">
        <v>165</v>
      </c>
      <c r="E21" s="61">
        <f t="shared" si="0"/>
        <v>553</v>
      </c>
    </row>
    <row r="22" spans="1:7" x14ac:dyDescent="0.25">
      <c r="A22" s="43">
        <v>20</v>
      </c>
      <c r="B22" s="3">
        <v>147</v>
      </c>
      <c r="C22" s="3">
        <f t="shared" si="1"/>
        <v>700</v>
      </c>
      <c r="D22" s="3">
        <v>160</v>
      </c>
      <c r="E22" s="61">
        <f t="shared" si="0"/>
        <v>540</v>
      </c>
    </row>
    <row r="23" spans="1:7" x14ac:dyDescent="0.25">
      <c r="A23" s="43">
        <v>21</v>
      </c>
      <c r="B23" s="3">
        <v>147</v>
      </c>
      <c r="C23" s="3">
        <f t="shared" si="1"/>
        <v>687</v>
      </c>
      <c r="D23" s="3">
        <v>165</v>
      </c>
      <c r="E23" s="61">
        <f t="shared" si="0"/>
        <v>522</v>
      </c>
    </row>
    <row r="24" spans="1:7" x14ac:dyDescent="0.25">
      <c r="A24" s="43">
        <v>22</v>
      </c>
      <c r="B24" s="3">
        <v>147</v>
      </c>
      <c r="C24" s="3">
        <f t="shared" si="1"/>
        <v>669</v>
      </c>
      <c r="D24" s="3">
        <v>170</v>
      </c>
      <c r="E24" s="61">
        <f t="shared" si="0"/>
        <v>499</v>
      </c>
    </row>
    <row r="25" spans="1:7" x14ac:dyDescent="0.25">
      <c r="A25" s="43">
        <v>23</v>
      </c>
      <c r="B25" s="3">
        <v>147</v>
      </c>
      <c r="C25" s="3">
        <f t="shared" si="1"/>
        <v>646</v>
      </c>
      <c r="D25" s="3">
        <v>178</v>
      </c>
      <c r="E25" s="61">
        <f t="shared" si="0"/>
        <v>468</v>
      </c>
    </row>
    <row r="26" spans="1:7" x14ac:dyDescent="0.25">
      <c r="A26" s="43">
        <v>24</v>
      </c>
      <c r="B26" s="3">
        <v>147</v>
      </c>
      <c r="C26" s="3">
        <f t="shared" si="1"/>
        <v>615</v>
      </c>
      <c r="D26" s="3">
        <v>160</v>
      </c>
      <c r="E26" s="61">
        <f t="shared" si="0"/>
        <v>455</v>
      </c>
      <c r="F26" t="s">
        <v>266</v>
      </c>
      <c r="G26" s="13">
        <f>E26*Ventas!$B$2</f>
        <v>9100000000</v>
      </c>
    </row>
    <row r="27" spans="1:7" x14ac:dyDescent="0.25">
      <c r="A27" s="43">
        <v>25</v>
      </c>
      <c r="B27" s="3">
        <v>147</v>
      </c>
      <c r="C27" s="3">
        <f t="shared" si="1"/>
        <v>602</v>
      </c>
      <c r="D27" s="3" cm="1">
        <f t="array" ref="D27:D38">TRANSPOSE(Ventas!B14:M14)</f>
        <v>160</v>
      </c>
      <c r="E27" s="61">
        <f t="shared" si="0"/>
        <v>442</v>
      </c>
    </row>
    <row r="28" spans="1:7" x14ac:dyDescent="0.25">
      <c r="A28" s="43">
        <v>26</v>
      </c>
      <c r="B28" s="3">
        <v>147</v>
      </c>
      <c r="C28" s="3">
        <f t="shared" si="1"/>
        <v>589</v>
      </c>
      <c r="D28" s="3">
        <v>160</v>
      </c>
      <c r="E28" s="61">
        <f t="shared" si="0"/>
        <v>429</v>
      </c>
    </row>
    <row r="29" spans="1:7" x14ac:dyDescent="0.25">
      <c r="A29" s="43">
        <v>27</v>
      </c>
      <c r="B29" s="3">
        <v>147</v>
      </c>
      <c r="C29" s="3">
        <f t="shared" si="1"/>
        <v>576</v>
      </c>
      <c r="D29" s="3">
        <v>147</v>
      </c>
      <c r="E29" s="61">
        <f t="shared" si="0"/>
        <v>429</v>
      </c>
    </row>
    <row r="30" spans="1:7" x14ac:dyDescent="0.25">
      <c r="A30" s="43">
        <v>28</v>
      </c>
      <c r="B30" s="3">
        <v>147</v>
      </c>
      <c r="C30" s="3">
        <f t="shared" si="1"/>
        <v>576</v>
      </c>
      <c r="D30" s="3">
        <v>158</v>
      </c>
      <c r="E30" s="61">
        <f t="shared" si="0"/>
        <v>418</v>
      </c>
    </row>
    <row r="31" spans="1:7" x14ac:dyDescent="0.25">
      <c r="A31" s="43">
        <v>29</v>
      </c>
      <c r="B31" s="3">
        <v>147</v>
      </c>
      <c r="C31" s="3">
        <f t="shared" si="1"/>
        <v>565</v>
      </c>
      <c r="D31" s="3">
        <v>175</v>
      </c>
      <c r="E31" s="61">
        <f t="shared" si="0"/>
        <v>390</v>
      </c>
    </row>
    <row r="32" spans="1:7" x14ac:dyDescent="0.25">
      <c r="A32" s="43">
        <v>30</v>
      </c>
      <c r="B32" s="3">
        <v>147</v>
      </c>
      <c r="C32" s="3">
        <f t="shared" si="1"/>
        <v>537</v>
      </c>
      <c r="D32" s="3">
        <v>170</v>
      </c>
      <c r="E32" s="61">
        <f t="shared" si="0"/>
        <v>367</v>
      </c>
    </row>
    <row r="33" spans="1:7" x14ac:dyDescent="0.25">
      <c r="A33" s="43">
        <v>31</v>
      </c>
      <c r="B33" s="3">
        <v>147</v>
      </c>
      <c r="C33" s="3">
        <f t="shared" si="1"/>
        <v>514</v>
      </c>
      <c r="D33" s="3">
        <v>180</v>
      </c>
      <c r="E33" s="61">
        <f t="shared" si="0"/>
        <v>334</v>
      </c>
    </row>
    <row r="34" spans="1:7" x14ac:dyDescent="0.25">
      <c r="A34" s="43">
        <v>32</v>
      </c>
      <c r="B34" s="3">
        <v>147</v>
      </c>
      <c r="C34" s="3">
        <f t="shared" si="1"/>
        <v>481</v>
      </c>
      <c r="D34" s="3">
        <v>170</v>
      </c>
      <c r="E34" s="61">
        <f t="shared" si="0"/>
        <v>311</v>
      </c>
    </row>
    <row r="35" spans="1:7" x14ac:dyDescent="0.25">
      <c r="A35" s="43">
        <v>33</v>
      </c>
      <c r="B35" s="3">
        <v>147</v>
      </c>
      <c r="C35" s="3">
        <f t="shared" si="1"/>
        <v>458</v>
      </c>
      <c r="D35" s="3">
        <v>170</v>
      </c>
      <c r="E35" s="61">
        <f t="shared" si="0"/>
        <v>288</v>
      </c>
    </row>
    <row r="36" spans="1:7" x14ac:dyDescent="0.25">
      <c r="A36" s="43">
        <v>34</v>
      </c>
      <c r="B36" s="3">
        <v>147</v>
      </c>
      <c r="C36" s="3">
        <f t="shared" si="1"/>
        <v>435</v>
      </c>
      <c r="D36" s="3">
        <v>167</v>
      </c>
      <c r="E36" s="61">
        <f t="shared" si="0"/>
        <v>268</v>
      </c>
    </row>
    <row r="37" spans="1:7" x14ac:dyDescent="0.25">
      <c r="A37" s="43">
        <v>35</v>
      </c>
      <c r="B37" s="3">
        <v>147</v>
      </c>
      <c r="C37" s="3">
        <f t="shared" si="1"/>
        <v>415</v>
      </c>
      <c r="D37" s="3">
        <v>180</v>
      </c>
      <c r="E37" s="61">
        <f t="shared" si="0"/>
        <v>235</v>
      </c>
    </row>
    <row r="38" spans="1:7" x14ac:dyDescent="0.25">
      <c r="A38" s="43">
        <v>36</v>
      </c>
      <c r="B38" s="3">
        <v>147</v>
      </c>
      <c r="C38" s="3">
        <f t="shared" si="1"/>
        <v>382</v>
      </c>
      <c r="D38" s="3">
        <v>185</v>
      </c>
      <c r="E38" s="61">
        <f t="shared" si="0"/>
        <v>197</v>
      </c>
      <c r="F38" t="s">
        <v>267</v>
      </c>
      <c r="G38" s="13">
        <f>E38*Ventas!$B$2</f>
        <v>3940000000</v>
      </c>
    </row>
    <row r="39" spans="1:7" x14ac:dyDescent="0.25">
      <c r="A39" s="43">
        <v>37</v>
      </c>
      <c r="B39" s="3">
        <v>147</v>
      </c>
      <c r="C39" s="3">
        <f t="shared" si="1"/>
        <v>344</v>
      </c>
      <c r="D39" s="3" cm="1">
        <f t="array" ref="D39:D50">TRANSPOSE(Ventas!B18:M18)</f>
        <v>165</v>
      </c>
      <c r="E39" s="61">
        <f t="shared" si="0"/>
        <v>179</v>
      </c>
    </row>
    <row r="40" spans="1:7" x14ac:dyDescent="0.25">
      <c r="A40" s="43">
        <v>38</v>
      </c>
      <c r="B40" s="3">
        <v>147</v>
      </c>
      <c r="C40" s="3">
        <f t="shared" si="1"/>
        <v>326</v>
      </c>
      <c r="D40" s="3">
        <v>167</v>
      </c>
      <c r="E40" s="61">
        <f t="shared" si="0"/>
        <v>159</v>
      </c>
    </row>
    <row r="41" spans="1:7" x14ac:dyDescent="0.25">
      <c r="A41" s="43">
        <v>39</v>
      </c>
      <c r="B41" s="3">
        <v>147</v>
      </c>
      <c r="C41" s="3">
        <f t="shared" si="1"/>
        <v>306</v>
      </c>
      <c r="D41" s="3">
        <v>156</v>
      </c>
      <c r="E41" s="61">
        <f t="shared" si="0"/>
        <v>150</v>
      </c>
    </row>
    <row r="42" spans="1:7" x14ac:dyDescent="0.25">
      <c r="A42" s="43">
        <v>40</v>
      </c>
      <c r="B42" s="3">
        <v>147</v>
      </c>
      <c r="C42" s="3">
        <f t="shared" si="1"/>
        <v>297</v>
      </c>
      <c r="D42" s="3">
        <v>159</v>
      </c>
      <c r="E42" s="61">
        <f t="shared" si="0"/>
        <v>138</v>
      </c>
    </row>
    <row r="43" spans="1:7" x14ac:dyDescent="0.25">
      <c r="A43" s="43">
        <v>41</v>
      </c>
      <c r="B43" s="3">
        <v>147</v>
      </c>
      <c r="C43" s="3">
        <f t="shared" si="1"/>
        <v>285</v>
      </c>
      <c r="D43" s="3">
        <v>174</v>
      </c>
      <c r="E43" s="61">
        <f t="shared" si="0"/>
        <v>111</v>
      </c>
    </row>
    <row r="44" spans="1:7" x14ac:dyDescent="0.25">
      <c r="A44" s="43">
        <v>42</v>
      </c>
      <c r="B44" s="3">
        <v>147</v>
      </c>
      <c r="C44" s="3">
        <f t="shared" si="1"/>
        <v>258</v>
      </c>
      <c r="D44" s="3">
        <v>177</v>
      </c>
      <c r="E44" s="61">
        <f t="shared" si="0"/>
        <v>81</v>
      </c>
    </row>
    <row r="45" spans="1:7" x14ac:dyDescent="0.25">
      <c r="A45" s="43">
        <v>43</v>
      </c>
      <c r="B45" s="3">
        <v>147</v>
      </c>
      <c r="C45" s="3">
        <f t="shared" si="1"/>
        <v>228</v>
      </c>
      <c r="D45" s="3">
        <v>180</v>
      </c>
      <c r="E45" s="61">
        <f t="shared" si="0"/>
        <v>48</v>
      </c>
    </row>
    <row r="46" spans="1:7" x14ac:dyDescent="0.25">
      <c r="A46" s="43">
        <v>44</v>
      </c>
      <c r="B46" s="3">
        <v>147</v>
      </c>
      <c r="C46" s="3">
        <f t="shared" si="1"/>
        <v>195</v>
      </c>
      <c r="D46" s="3">
        <v>149</v>
      </c>
      <c r="E46" s="61">
        <f t="shared" si="0"/>
        <v>46</v>
      </c>
    </row>
    <row r="47" spans="1:7" x14ac:dyDescent="0.25">
      <c r="A47" s="43">
        <v>45</v>
      </c>
      <c r="B47" s="3">
        <v>147</v>
      </c>
      <c r="C47" s="3">
        <f t="shared" si="1"/>
        <v>193</v>
      </c>
      <c r="D47" s="3">
        <v>151</v>
      </c>
      <c r="E47" s="61">
        <f t="shared" si="0"/>
        <v>42</v>
      </c>
    </row>
    <row r="48" spans="1:7" x14ac:dyDescent="0.25">
      <c r="A48" s="43">
        <v>46</v>
      </c>
      <c r="B48" s="3">
        <v>147</v>
      </c>
      <c r="C48" s="3">
        <f t="shared" si="1"/>
        <v>189</v>
      </c>
      <c r="D48" s="3">
        <v>147</v>
      </c>
      <c r="E48" s="61">
        <f t="shared" si="0"/>
        <v>42</v>
      </c>
    </row>
    <row r="49" spans="1:7" x14ac:dyDescent="0.25">
      <c r="A49" s="43">
        <v>47</v>
      </c>
      <c r="B49" s="3">
        <v>147</v>
      </c>
      <c r="C49" s="3">
        <f t="shared" si="1"/>
        <v>189</v>
      </c>
      <c r="D49" s="3">
        <v>147</v>
      </c>
      <c r="E49" s="61">
        <f t="shared" si="0"/>
        <v>42</v>
      </c>
    </row>
    <row r="50" spans="1:7" x14ac:dyDescent="0.25">
      <c r="A50" s="43">
        <v>48</v>
      </c>
      <c r="B50" s="3">
        <v>147</v>
      </c>
      <c r="C50" s="3">
        <f t="shared" si="1"/>
        <v>189</v>
      </c>
      <c r="D50" s="3">
        <v>147</v>
      </c>
      <c r="E50" s="61">
        <f t="shared" si="0"/>
        <v>42</v>
      </c>
      <c r="F50" t="s">
        <v>268</v>
      </c>
      <c r="G50" s="13">
        <f>E50*Ventas!$B$2</f>
        <v>840000000</v>
      </c>
    </row>
    <row r="51" spans="1:7" x14ac:dyDescent="0.25">
      <c r="A51" s="43">
        <v>49</v>
      </c>
      <c r="B51" s="3">
        <v>147</v>
      </c>
      <c r="C51" s="3">
        <f t="shared" si="1"/>
        <v>189</v>
      </c>
      <c r="D51" s="3" cm="1">
        <f t="array" ref="D51:D62">TRANSPOSE(Ventas!B22:M22)</f>
        <v>153</v>
      </c>
      <c r="E51" s="61">
        <f t="shared" si="0"/>
        <v>36</v>
      </c>
    </row>
    <row r="52" spans="1:7" x14ac:dyDescent="0.25">
      <c r="A52" s="43">
        <v>50</v>
      </c>
      <c r="B52" s="3">
        <v>147</v>
      </c>
      <c r="C52" s="3">
        <f t="shared" si="1"/>
        <v>183</v>
      </c>
      <c r="D52" s="3">
        <v>150</v>
      </c>
      <c r="E52" s="61">
        <f t="shared" si="0"/>
        <v>33</v>
      </c>
    </row>
    <row r="53" spans="1:7" x14ac:dyDescent="0.25">
      <c r="A53" s="43">
        <v>51</v>
      </c>
      <c r="B53" s="3">
        <v>147</v>
      </c>
      <c r="C53" s="3">
        <f t="shared" si="1"/>
        <v>180</v>
      </c>
      <c r="D53" s="3">
        <v>148</v>
      </c>
      <c r="E53" s="61">
        <f t="shared" si="0"/>
        <v>32</v>
      </c>
    </row>
    <row r="54" spans="1:7" x14ac:dyDescent="0.25">
      <c r="A54" s="43">
        <v>52</v>
      </c>
      <c r="B54" s="3">
        <v>147</v>
      </c>
      <c r="C54" s="3">
        <f t="shared" si="1"/>
        <v>179</v>
      </c>
      <c r="D54" s="3">
        <v>156</v>
      </c>
      <c r="E54" s="61">
        <f t="shared" si="0"/>
        <v>23</v>
      </c>
    </row>
    <row r="55" spans="1:7" x14ac:dyDescent="0.25">
      <c r="A55" s="43">
        <v>53</v>
      </c>
      <c r="B55" s="3">
        <v>147</v>
      </c>
      <c r="C55" s="3">
        <f t="shared" si="1"/>
        <v>170</v>
      </c>
      <c r="D55" s="3">
        <v>158</v>
      </c>
      <c r="E55" s="61">
        <f t="shared" si="0"/>
        <v>12</v>
      </c>
    </row>
    <row r="56" spans="1:7" x14ac:dyDescent="0.25">
      <c r="A56" s="43">
        <v>54</v>
      </c>
      <c r="B56" s="3">
        <v>147</v>
      </c>
      <c r="C56" s="3">
        <f t="shared" si="1"/>
        <v>159</v>
      </c>
      <c r="D56" s="3">
        <v>150</v>
      </c>
      <c r="E56" s="61">
        <f t="shared" si="0"/>
        <v>9</v>
      </c>
    </row>
    <row r="57" spans="1:7" x14ac:dyDescent="0.25">
      <c r="A57" s="43">
        <v>55</v>
      </c>
      <c r="B57" s="3">
        <v>147</v>
      </c>
      <c r="C57" s="3">
        <f t="shared" si="1"/>
        <v>156</v>
      </c>
      <c r="D57" s="3">
        <v>156</v>
      </c>
      <c r="E57" s="61">
        <f t="shared" si="0"/>
        <v>0</v>
      </c>
    </row>
    <row r="58" spans="1:7" x14ac:dyDescent="0.25">
      <c r="A58" s="43">
        <v>56</v>
      </c>
      <c r="B58" s="3">
        <v>147</v>
      </c>
      <c r="C58" s="3">
        <f t="shared" si="1"/>
        <v>147</v>
      </c>
      <c r="D58" s="3">
        <v>147</v>
      </c>
      <c r="E58" s="61">
        <f t="shared" si="0"/>
        <v>0</v>
      </c>
    </row>
    <row r="59" spans="1:7" x14ac:dyDescent="0.25">
      <c r="A59" s="43">
        <v>57</v>
      </c>
      <c r="B59" s="3">
        <v>147</v>
      </c>
      <c r="C59" s="3">
        <f t="shared" si="1"/>
        <v>147</v>
      </c>
      <c r="D59" s="3">
        <v>147</v>
      </c>
      <c r="E59" s="61">
        <f t="shared" si="0"/>
        <v>0</v>
      </c>
    </row>
    <row r="60" spans="1:7" x14ac:dyDescent="0.25">
      <c r="A60" s="43">
        <v>58</v>
      </c>
      <c r="B60" s="3">
        <v>147</v>
      </c>
      <c r="C60" s="3">
        <f t="shared" si="1"/>
        <v>147</v>
      </c>
      <c r="D60" s="3">
        <v>147</v>
      </c>
      <c r="E60" s="61">
        <f t="shared" si="0"/>
        <v>0</v>
      </c>
    </row>
    <row r="61" spans="1:7" x14ac:dyDescent="0.25">
      <c r="A61" s="43">
        <v>59</v>
      </c>
      <c r="B61" s="3">
        <v>147</v>
      </c>
      <c r="C61" s="3">
        <f t="shared" si="1"/>
        <v>147</v>
      </c>
      <c r="D61" s="3">
        <v>147</v>
      </c>
      <c r="E61" s="61">
        <f t="shared" si="0"/>
        <v>0</v>
      </c>
    </row>
    <row r="62" spans="1:7" ht="15.75" thickBot="1" x14ac:dyDescent="0.3">
      <c r="A62" s="45">
        <v>60</v>
      </c>
      <c r="B62" s="62">
        <v>147</v>
      </c>
      <c r="C62" s="62">
        <f t="shared" si="1"/>
        <v>147</v>
      </c>
      <c r="D62" s="62">
        <v>147</v>
      </c>
      <c r="E62" s="63">
        <f t="shared" si="0"/>
        <v>0</v>
      </c>
      <c r="F62" t="s">
        <v>269</v>
      </c>
      <c r="G62" s="13">
        <f>E62*Ventas!$B$2</f>
        <v>0</v>
      </c>
    </row>
    <row r="72" spans="7:7" x14ac:dyDescent="0.25">
      <c r="G72" s="13"/>
    </row>
  </sheetData>
  <phoneticPr fontId="4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C3F0-968A-48E6-95B8-A793FC4D43A6}">
  <dimension ref="B1:P32"/>
  <sheetViews>
    <sheetView workbookViewId="0">
      <selection activeCell="O7" sqref="O7"/>
    </sheetView>
  </sheetViews>
  <sheetFormatPr baseColWidth="10" defaultRowHeight="15" x14ac:dyDescent="0.25"/>
  <cols>
    <col min="1" max="1" width="8" bestFit="1" customWidth="1"/>
    <col min="2" max="2" width="13.28515625" bestFit="1" customWidth="1"/>
    <col min="3" max="3" width="16.85546875" bestFit="1" customWidth="1"/>
    <col min="4" max="5" width="10.28515625" bestFit="1" customWidth="1"/>
    <col min="6" max="6" width="16.42578125" bestFit="1" customWidth="1"/>
    <col min="9" max="9" width="16.85546875" bestFit="1" customWidth="1"/>
    <col min="12" max="12" width="16.42578125" bestFit="1" customWidth="1"/>
  </cols>
  <sheetData>
    <row r="1" spans="2:16" ht="15.75" thickBot="1" x14ac:dyDescent="0.3"/>
    <row r="2" spans="2:16" ht="15.75" thickBot="1" x14ac:dyDescent="0.3">
      <c r="B2" s="106" t="s">
        <v>262</v>
      </c>
      <c r="C2" s="107"/>
      <c r="D2" s="107"/>
      <c r="E2" s="107"/>
      <c r="F2" s="108"/>
      <c r="H2" s="106" t="s">
        <v>263</v>
      </c>
      <c r="I2" s="107"/>
      <c r="J2" s="107"/>
      <c r="K2" s="107"/>
      <c r="L2" s="108"/>
      <c r="P2" s="24"/>
    </row>
    <row r="3" spans="2:16" x14ac:dyDescent="0.25">
      <c r="B3" s="27" t="s">
        <v>250</v>
      </c>
      <c r="C3" s="28"/>
      <c r="D3" s="28"/>
      <c r="E3" s="29" t="s">
        <v>251</v>
      </c>
      <c r="F3" s="30"/>
      <c r="H3" s="27" t="s">
        <v>250</v>
      </c>
      <c r="I3" s="28"/>
      <c r="J3" s="28"/>
      <c r="K3" s="29" t="s">
        <v>251</v>
      </c>
      <c r="L3" s="30"/>
      <c r="P3" s="24"/>
    </row>
    <row r="4" spans="2:16" x14ac:dyDescent="0.25">
      <c r="B4" s="31" t="s">
        <v>252</v>
      </c>
      <c r="C4" s="32">
        <f>General!Q3</f>
        <v>403937013.38480115</v>
      </c>
      <c r="E4" s="33" t="s">
        <v>253</v>
      </c>
      <c r="F4" s="34">
        <v>0</v>
      </c>
      <c r="H4" s="31" t="s">
        <v>252</v>
      </c>
      <c r="I4" s="32">
        <f>General!Q4</f>
        <v>1499706034.1878891</v>
      </c>
      <c r="K4" s="33" t="s">
        <v>253</v>
      </c>
      <c r="L4" s="34">
        <v>0</v>
      </c>
      <c r="P4" s="24"/>
    </row>
    <row r="5" spans="2:16" x14ac:dyDescent="0.25">
      <c r="B5" s="31" t="s">
        <v>254</v>
      </c>
      <c r="C5" s="32">
        <f>Inventarios!G14</f>
        <v>12260000000</v>
      </c>
      <c r="E5" s="33" t="s">
        <v>255</v>
      </c>
      <c r="F5" s="34">
        <f>General!O3</f>
        <v>947506574.60632348</v>
      </c>
      <c r="H5" s="31" t="s">
        <v>254</v>
      </c>
      <c r="I5" s="32">
        <f>Inventarios!G26</f>
        <v>9100000000</v>
      </c>
      <c r="K5" s="33" t="s">
        <v>255</v>
      </c>
      <c r="L5" s="34">
        <f>General!O4</f>
        <v>3517828969.0827026</v>
      </c>
      <c r="P5" s="24"/>
    </row>
    <row r="6" spans="2:16" x14ac:dyDescent="0.25">
      <c r="B6" s="31" t="s">
        <v>256</v>
      </c>
      <c r="C6" s="26">
        <v>0</v>
      </c>
      <c r="E6" s="33" t="s">
        <v>257</v>
      </c>
      <c r="F6" s="35">
        <v>0</v>
      </c>
      <c r="H6" s="31" t="s">
        <v>256</v>
      </c>
      <c r="I6" s="26">
        <v>0</v>
      </c>
      <c r="K6" s="33" t="s">
        <v>257</v>
      </c>
      <c r="L6" s="35">
        <v>0</v>
      </c>
      <c r="P6" s="24"/>
    </row>
    <row r="7" spans="2:16" x14ac:dyDescent="0.25">
      <c r="B7" s="31" t="s">
        <v>2</v>
      </c>
      <c r="C7" s="32">
        <f>SUM(C4:C6)</f>
        <v>12663937013.384802</v>
      </c>
      <c r="E7" s="33" t="s">
        <v>2</v>
      </c>
      <c r="F7" s="34">
        <f>SUM(F4:F6)</f>
        <v>947506574.60632348</v>
      </c>
      <c r="H7" s="31" t="s">
        <v>2</v>
      </c>
      <c r="I7" s="32">
        <f>SUM(I4:I6)</f>
        <v>10599706034.187889</v>
      </c>
      <c r="K7" s="33" t="s">
        <v>2</v>
      </c>
      <c r="L7" s="34">
        <f>SUM(L4:L6)</f>
        <v>3517828969.0827026</v>
      </c>
      <c r="P7" s="24"/>
    </row>
    <row r="8" spans="2:16" x14ac:dyDescent="0.25">
      <c r="B8" s="36"/>
      <c r="F8" s="37"/>
      <c r="H8" s="36"/>
      <c r="L8" s="37"/>
      <c r="P8" s="24"/>
    </row>
    <row r="9" spans="2:16" x14ac:dyDescent="0.25">
      <c r="B9" s="36"/>
      <c r="E9" s="38" t="s">
        <v>258</v>
      </c>
      <c r="F9" s="37"/>
      <c r="H9" s="36"/>
      <c r="K9" s="38" t="s">
        <v>258</v>
      </c>
      <c r="L9" s="37"/>
    </row>
    <row r="10" spans="2:16" ht="15.75" thickBot="1" x14ac:dyDescent="0.3">
      <c r="B10" s="39"/>
      <c r="C10" s="40"/>
      <c r="D10" s="40"/>
      <c r="E10" s="41" t="s">
        <v>2</v>
      </c>
      <c r="F10" s="42">
        <f>C7+F7</f>
        <v>13611443587.991125</v>
      </c>
      <c r="H10" s="39"/>
      <c r="I10" s="40"/>
      <c r="J10" s="40"/>
      <c r="K10" s="41" t="s">
        <v>2</v>
      </c>
      <c r="L10" s="42">
        <f>I7-L7</f>
        <v>7081877065.1051865</v>
      </c>
    </row>
    <row r="12" spans="2:16" ht="15.75" thickBot="1" x14ac:dyDescent="0.3"/>
    <row r="13" spans="2:16" ht="15.75" thickBot="1" x14ac:dyDescent="0.3">
      <c r="B13" s="106" t="s">
        <v>264</v>
      </c>
      <c r="C13" s="107"/>
      <c r="D13" s="107"/>
      <c r="E13" s="107"/>
      <c r="F13" s="108"/>
      <c r="H13" s="106" t="s">
        <v>270</v>
      </c>
      <c r="I13" s="107"/>
      <c r="J13" s="107"/>
      <c r="K13" s="107"/>
      <c r="L13" s="108"/>
    </row>
    <row r="14" spans="2:16" x14ac:dyDescent="0.25">
      <c r="B14" s="27" t="s">
        <v>250</v>
      </c>
      <c r="C14" s="28"/>
      <c r="D14" s="28"/>
      <c r="E14" s="29" t="s">
        <v>251</v>
      </c>
      <c r="F14" s="30"/>
      <c r="H14" s="27" t="s">
        <v>250</v>
      </c>
      <c r="I14" s="28"/>
      <c r="J14" s="28"/>
      <c r="K14" s="29" t="s">
        <v>251</v>
      </c>
      <c r="L14" s="30"/>
    </row>
    <row r="15" spans="2:16" x14ac:dyDescent="0.25">
      <c r="B15" s="31" t="s">
        <v>252</v>
      </c>
      <c r="C15" s="32">
        <f>(General!Q4*1.06)+General!Q5</f>
        <v>3361399992.4783254</v>
      </c>
      <c r="E15" s="33" t="s">
        <v>253</v>
      </c>
      <c r="F15" s="34">
        <v>0</v>
      </c>
      <c r="H15" s="31" t="s">
        <v>252</v>
      </c>
      <c r="I15" s="32">
        <f>(General!Q4*1.1236)+(General!Q5*1.06)+General!Q6</f>
        <v>5242365354.2805376</v>
      </c>
      <c r="K15" s="33" t="s">
        <v>253</v>
      </c>
      <c r="L15" s="34">
        <v>0</v>
      </c>
    </row>
    <row r="16" spans="2:16" x14ac:dyDescent="0.25">
      <c r="B16" s="31" t="s">
        <v>254</v>
      </c>
      <c r="C16" s="32">
        <f>Inventarios!G38</f>
        <v>3940000000</v>
      </c>
      <c r="E16" s="33" t="s">
        <v>255</v>
      </c>
      <c r="F16" s="34">
        <f>General!O5</f>
        <v>4155866707.2276659</v>
      </c>
      <c r="H16" s="31" t="s">
        <v>254</v>
      </c>
      <c r="I16" s="32">
        <f>Inventarios!G50</f>
        <v>840000000</v>
      </c>
      <c r="K16" s="33" t="s">
        <v>255</v>
      </c>
      <c r="L16" s="34">
        <f>General!O6</f>
        <v>3939055047.2613258</v>
      </c>
    </row>
    <row r="17" spans="2:12" x14ac:dyDescent="0.25">
      <c r="B17" s="31" t="s">
        <v>256</v>
      </c>
      <c r="C17" s="26">
        <v>0</v>
      </c>
      <c r="E17" s="33" t="s">
        <v>257</v>
      </c>
      <c r="F17" s="35">
        <v>0</v>
      </c>
      <c r="H17" s="31" t="s">
        <v>256</v>
      </c>
      <c r="I17" s="26">
        <v>0</v>
      </c>
      <c r="K17" s="33" t="s">
        <v>257</v>
      </c>
      <c r="L17" s="35">
        <v>0</v>
      </c>
    </row>
    <row r="18" spans="2:12" x14ac:dyDescent="0.25">
      <c r="B18" s="31" t="s">
        <v>2</v>
      </c>
      <c r="C18" s="32">
        <f>SUM(C15:C17)</f>
        <v>7301399992.4783249</v>
      </c>
      <c r="E18" s="33" t="s">
        <v>2</v>
      </c>
      <c r="F18" s="34">
        <f>SUM(F15:F17)</f>
        <v>4155866707.2276659</v>
      </c>
      <c r="H18" s="31" t="s">
        <v>2</v>
      </c>
      <c r="I18" s="32">
        <f>SUM(I15:I17)</f>
        <v>6082365354.2805376</v>
      </c>
      <c r="K18" s="33" t="s">
        <v>2</v>
      </c>
      <c r="L18" s="34">
        <f>SUM(L15:L17)</f>
        <v>3939055047.2613258</v>
      </c>
    </row>
    <row r="19" spans="2:12" x14ac:dyDescent="0.25">
      <c r="B19" s="36"/>
      <c r="F19" s="37"/>
      <c r="H19" s="36"/>
      <c r="L19" s="37"/>
    </row>
    <row r="20" spans="2:12" x14ac:dyDescent="0.25">
      <c r="B20" s="36"/>
      <c r="E20" s="38" t="s">
        <v>258</v>
      </c>
      <c r="F20" s="37"/>
      <c r="H20" s="36"/>
      <c r="K20" s="38" t="s">
        <v>258</v>
      </c>
      <c r="L20" s="37"/>
    </row>
    <row r="21" spans="2:12" ht="15.75" thickBot="1" x14ac:dyDescent="0.3">
      <c r="B21" s="39"/>
      <c r="C21" s="40"/>
      <c r="D21" s="40"/>
      <c r="E21" s="41" t="s">
        <v>2</v>
      </c>
      <c r="F21" s="42">
        <f>C18-F18</f>
        <v>3145533285.250659</v>
      </c>
      <c r="H21" s="39"/>
      <c r="I21" s="40"/>
      <c r="J21" s="40"/>
      <c r="K21" s="41" t="s">
        <v>2</v>
      </c>
      <c r="L21" s="42">
        <f>I18-L18</f>
        <v>2143310307.0192118</v>
      </c>
    </row>
    <row r="23" spans="2:12" ht="15.75" thickBot="1" x14ac:dyDescent="0.3"/>
    <row r="24" spans="2:12" ht="15.75" thickBot="1" x14ac:dyDescent="0.3">
      <c r="B24" s="106" t="s">
        <v>271</v>
      </c>
      <c r="C24" s="107"/>
      <c r="D24" s="107"/>
      <c r="E24" s="107"/>
      <c r="F24" s="108"/>
    </row>
    <row r="25" spans="2:12" x14ac:dyDescent="0.25">
      <c r="B25" s="27" t="s">
        <v>250</v>
      </c>
      <c r="C25" s="28"/>
      <c r="D25" s="28"/>
      <c r="E25" s="29" t="s">
        <v>251</v>
      </c>
      <c r="F25" s="30"/>
    </row>
    <row r="26" spans="2:12" x14ac:dyDescent="0.25">
      <c r="B26" s="31" t="s">
        <v>252</v>
      </c>
      <c r="C26" s="32">
        <f>(General!Q4*1.191)+(General!Q5*1.1236)+(General!Q6*1.06)</f>
        <v>5556883280.2408228</v>
      </c>
      <c r="E26" s="33" t="s">
        <v>253</v>
      </c>
      <c r="F26" s="34">
        <v>0</v>
      </c>
    </row>
    <row r="27" spans="2:12" x14ac:dyDescent="0.25">
      <c r="B27" s="31" t="s">
        <v>254</v>
      </c>
      <c r="C27" s="32">
        <f>Inventarios!G62</f>
        <v>0</v>
      </c>
      <c r="E27" s="33" t="s">
        <v>255</v>
      </c>
      <c r="F27" s="34">
        <f>General!O7</f>
        <v>3633290743.4730062</v>
      </c>
    </row>
    <row r="28" spans="2:12" x14ac:dyDescent="0.25">
      <c r="B28" s="31" t="s">
        <v>256</v>
      </c>
      <c r="C28" s="26">
        <v>0</v>
      </c>
      <c r="E28" s="33" t="s">
        <v>257</v>
      </c>
      <c r="F28" s="35">
        <v>0</v>
      </c>
    </row>
    <row r="29" spans="2:12" x14ac:dyDescent="0.25">
      <c r="B29" s="31" t="s">
        <v>2</v>
      </c>
      <c r="C29" s="32">
        <f>SUM(C26:C28)</f>
        <v>5556883280.2408228</v>
      </c>
      <c r="E29" s="33" t="s">
        <v>2</v>
      </c>
      <c r="F29" s="34">
        <f>SUM(F26:F28)</f>
        <v>3633290743.4730062</v>
      </c>
    </row>
    <row r="30" spans="2:12" x14ac:dyDescent="0.25">
      <c r="B30" s="36"/>
      <c r="F30" s="37"/>
    </row>
    <row r="31" spans="2:12" x14ac:dyDescent="0.25">
      <c r="B31" s="36"/>
      <c r="E31" s="38" t="s">
        <v>258</v>
      </c>
      <c r="F31" s="37"/>
    </row>
    <row r="32" spans="2:12" ht="15.75" thickBot="1" x14ac:dyDescent="0.3">
      <c r="B32" s="39"/>
      <c r="C32" s="40"/>
      <c r="D32" s="40"/>
      <c r="E32" s="41" t="s">
        <v>2</v>
      </c>
      <c r="F32" s="42">
        <f>C29-F29</f>
        <v>1923592536.7678165</v>
      </c>
    </row>
  </sheetData>
  <mergeCells count="5">
    <mergeCell ref="B2:F2"/>
    <mergeCell ref="H2:L2"/>
    <mergeCell ref="B13:F13"/>
    <mergeCell ref="H13:L13"/>
    <mergeCell ref="B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Estaciones</vt:lpstr>
      <vt:lpstr>AMFE</vt:lpstr>
      <vt:lpstr>Infraestructura</vt:lpstr>
      <vt:lpstr>Insumos</vt:lpstr>
      <vt:lpstr>Nómina</vt:lpstr>
      <vt:lpstr>Costos</vt:lpstr>
      <vt:lpstr>Ventas</vt:lpstr>
      <vt:lpstr>General</vt:lpstr>
      <vt:lpstr>Inventarios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 Quimbay Dueñas</dc:creator>
  <cp:lastModifiedBy>Marco Antonio  Quimbay Dueñas</cp:lastModifiedBy>
  <dcterms:created xsi:type="dcterms:W3CDTF">2025-07-05T01:59:12Z</dcterms:created>
  <dcterms:modified xsi:type="dcterms:W3CDTF">2025-07-22T03:46:33Z</dcterms:modified>
</cp:coreProperties>
</file>