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drawings/drawing1.xml" ContentType="application/vnd.openxmlformats-officedocument.drawing+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drawings/drawing2.xml" ContentType="application/vnd.openxmlformats-officedocument.drawing+xml"/>
  <Override PartName="/xl/tables/table23.xml" ContentType="application/vnd.openxmlformats-officedocument.spreadsheetml.table+xml"/>
  <Override PartName="/xl/tables/table24.xml" ContentType="application/vnd.openxmlformats-officedocument.spreadsheetml.table+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tonija\Desktop\"/>
    </mc:Choice>
  </mc:AlternateContent>
  <bookViews>
    <workbookView xWindow="0" yWindow="0" windowWidth="20490" windowHeight="7620" firstSheet="6" activeTab="10"/>
  </bookViews>
  <sheets>
    <sheet name="Ulaganje,prihodi,rashodi" sheetId="1" r:id="rId1"/>
    <sheet name="RDG,ET," sheetId="5" r:id="rId2"/>
    <sheet name="Otpl.kredita" sheetId="2" r:id="rId3"/>
    <sheet name="TOBS" sheetId="4" r:id="rId4"/>
    <sheet name="Histogram" sheetId="6" r:id="rId5"/>
    <sheet name="Sensit" sheetId="16" r:id="rId6"/>
    <sheet name="SensIt Tornado 3" sheetId="19" r:id="rId7"/>
    <sheet name="SensIt Spider 3" sheetId="20" r:id="rId8"/>
    <sheet name="Prioriteti i rangiranje" sheetId="29" r:id="rId9"/>
    <sheet name="Nesigurnosti" sheetId="30" r:id="rId10"/>
    <sheet name="Linearni trend" sheetId="31" r:id="rId11"/>
    <sheet name="Eksponencijalni trend" sheetId="32" r:id="rId12"/>
  </sheets>
  <externalReferences>
    <externalReference r:id="rId13"/>
  </externalReferences>
  <definedNames>
    <definedName name="_xlnm.Print_Area" localSheetId="7">'SensIt Spider 3'!$A$1:$K$46</definedName>
    <definedName name="_xlnm.Print_Area" localSheetId="6">'SensIt Tornado 3'!$A$1:$I$27</definedName>
    <definedName name="SensItManyInOneOutRefEditBaseCase" localSheetId="4" hidden="1">Histogram!#REF!</definedName>
    <definedName name="SensItManyInOneOutRefEditBaseCase" localSheetId="5" hidden="1">Sensit!$D$3:$D$5</definedName>
    <definedName name="SensItManyInOneOutRefEditInputLabels" localSheetId="4" hidden="1">Histogram!#REF!</definedName>
    <definedName name="SensItManyInOneOutRefEditInputLabels" localSheetId="5" hidden="1">Sensit!$A$3:$A$5</definedName>
    <definedName name="SensItManyInOneOutRefEditInputValues" localSheetId="4" hidden="1">Histogram!#REF!</definedName>
    <definedName name="SensItManyInOneOutRefEditInputValues" localSheetId="5" hidden="1">Sensit!$B$3:$B$5</definedName>
    <definedName name="SensItManyInOneOutRefEditOneExtreme" localSheetId="4" hidden="1">Histogram!#REF!</definedName>
    <definedName name="SensItManyInOneOutRefEditOneExtreme" localSheetId="5" hidden="1">Sensit!$C$3:$C$5</definedName>
    <definedName name="SensItManyInOneOutRefEditOtherExtreme" localSheetId="4" hidden="1">Histogram!#REF!</definedName>
    <definedName name="SensItManyInOneOutRefEditOtherExtreme" localSheetId="5" hidden="1">Sensit!$E$3:$E$5</definedName>
    <definedName name="SensItManyInOneOutRefEditOutputLabel" localSheetId="4" hidden="1">Histogram!$A$111</definedName>
    <definedName name="SensItManyInOneOutRefEditOutputLabel" localSheetId="5" hidden="1">Sensit!$A$6</definedName>
    <definedName name="SensItManyInOneOutRefEditOutputValue" localSheetId="4" hidden="1">Histogram!$B$111</definedName>
    <definedName name="SensItManyInOneOutRefEditOutputValue" localSheetId="5" hidden="1">Sensit!$B$6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1" i="31" l="1"/>
  <c r="M17" i="5" l="1"/>
  <c r="M18" i="5"/>
  <c r="M19" i="5"/>
  <c r="M20" i="5"/>
  <c r="M21" i="5"/>
  <c r="M22" i="5"/>
  <c r="M23" i="5"/>
  <c r="M16" i="5"/>
  <c r="L16" i="5"/>
  <c r="L23" i="5"/>
  <c r="L22" i="5"/>
  <c r="L21" i="5"/>
  <c r="L20" i="5"/>
  <c r="L19" i="5"/>
  <c r="L18" i="5"/>
  <c r="L17" i="5"/>
  <c r="B16" i="5"/>
  <c r="M24" i="5" l="1"/>
  <c r="H38" i="29"/>
  <c r="F56" i="29" l="1"/>
  <c r="F57" i="29"/>
  <c r="F55" i="29"/>
  <c r="E54" i="29"/>
  <c r="D54" i="29"/>
  <c r="C54" i="29"/>
  <c r="E56" i="29"/>
  <c r="E55" i="29"/>
  <c r="D56" i="29"/>
  <c r="D55" i="29"/>
  <c r="C56" i="29"/>
  <c r="C55" i="29"/>
  <c r="E57" i="29"/>
  <c r="D57" i="29"/>
  <c r="C57" i="29"/>
  <c r="E49" i="29"/>
  <c r="E48" i="29"/>
  <c r="H49" i="29"/>
  <c r="H48" i="29"/>
  <c r="D50" i="29"/>
  <c r="I49" i="29" s="1"/>
  <c r="J49" i="29" s="1"/>
  <c r="C50" i="29"/>
  <c r="E44" i="29"/>
  <c r="E43" i="29"/>
  <c r="E45" i="29" s="1"/>
  <c r="J44" i="29"/>
  <c r="J43" i="29"/>
  <c r="I44" i="29"/>
  <c r="I43" i="29"/>
  <c r="D45" i="29"/>
  <c r="C45" i="29"/>
  <c r="H43" i="29" s="1"/>
  <c r="I39" i="29"/>
  <c r="D40" i="29"/>
  <c r="I38" i="29" s="1"/>
  <c r="C40" i="29"/>
  <c r="H39" i="29" s="1"/>
  <c r="J39" i="29" s="1"/>
  <c r="E39" i="29" s="1"/>
  <c r="M30" i="6"/>
  <c r="M29" i="6"/>
  <c r="I47" i="31"/>
  <c r="I36" i="31"/>
  <c r="E50" i="29" l="1"/>
  <c r="I48" i="29"/>
  <c r="J48" i="29" s="1"/>
  <c r="H44" i="29"/>
  <c r="J38" i="29"/>
  <c r="E38" i="29" s="1"/>
  <c r="E40" i="29" s="1"/>
  <c r="J57" i="30"/>
  <c r="J58" i="30"/>
  <c r="J59" i="30"/>
  <c r="J60" i="30"/>
  <c r="J61" i="30"/>
  <c r="J56" i="30"/>
  <c r="E43" i="30"/>
  <c r="J49" i="30" s="1"/>
  <c r="F43" i="30"/>
  <c r="G43" i="30"/>
  <c r="H43" i="30"/>
  <c r="I43" i="30"/>
  <c r="D43" i="30"/>
  <c r="J45" i="30"/>
  <c r="J46" i="30" l="1"/>
  <c r="J47" i="30"/>
  <c r="J44" i="30"/>
  <c r="J48" i="30"/>
  <c r="C23" i="30" l="1"/>
  <c r="C24" i="30"/>
  <c r="C25" i="30"/>
  <c r="C26" i="30"/>
  <c r="C27" i="30"/>
  <c r="C22" i="30"/>
  <c r="D23" i="30"/>
  <c r="D24" i="30"/>
  <c r="D25" i="30"/>
  <c r="D26" i="30"/>
  <c r="D27" i="30"/>
  <c r="D22" i="30"/>
  <c r="J13" i="30"/>
  <c r="J14" i="30"/>
  <c r="J15" i="30"/>
  <c r="J16" i="30"/>
  <c r="J17" i="30"/>
  <c r="J12" i="30"/>
  <c r="J18" i="30" s="1"/>
  <c r="I13" i="30"/>
  <c r="I14" i="30"/>
  <c r="I15" i="30"/>
  <c r="I16" i="30"/>
  <c r="I17" i="30"/>
  <c r="I12" i="30"/>
  <c r="D18" i="30"/>
  <c r="E18" i="30"/>
  <c r="F18" i="30"/>
  <c r="G18" i="30"/>
  <c r="H18" i="30"/>
  <c r="C18" i="30"/>
  <c r="B7" i="30"/>
  <c r="H33" i="30" l="1"/>
  <c r="H35" i="30"/>
  <c r="H37" i="30"/>
  <c r="H34" i="30"/>
  <c r="H36" i="30"/>
  <c r="H32" i="30"/>
  <c r="F33" i="30"/>
  <c r="F35" i="30"/>
  <c r="F37" i="30"/>
  <c r="F34" i="30"/>
  <c r="F36" i="30"/>
  <c r="F32" i="30"/>
  <c r="D33" i="30"/>
  <c r="D35" i="30"/>
  <c r="D37" i="30"/>
  <c r="D34" i="30"/>
  <c r="D36" i="30"/>
  <c r="D32" i="30"/>
  <c r="I18" i="30"/>
  <c r="E22" i="30"/>
  <c r="E26" i="30"/>
  <c r="E24" i="30"/>
  <c r="C33" i="30"/>
  <c r="C35" i="30"/>
  <c r="I35" i="30" s="1"/>
  <c r="C37" i="30"/>
  <c r="C34" i="30"/>
  <c r="I34" i="30" s="1"/>
  <c r="C36" i="30"/>
  <c r="C32" i="30"/>
  <c r="I32" i="30" s="1"/>
  <c r="G34" i="30"/>
  <c r="G36" i="30"/>
  <c r="G32" i="30"/>
  <c r="G33" i="30"/>
  <c r="G35" i="30"/>
  <c r="G37" i="30"/>
  <c r="E34" i="30"/>
  <c r="E36" i="30"/>
  <c r="E32" i="30"/>
  <c r="E33" i="30"/>
  <c r="E35" i="30"/>
  <c r="E37" i="30"/>
  <c r="E27" i="30"/>
  <c r="E25" i="30"/>
  <c r="E23" i="30"/>
  <c r="D34" i="29"/>
  <c r="C32" i="29"/>
  <c r="D29" i="29"/>
  <c r="D33" i="29" s="1"/>
  <c r="E29" i="29"/>
  <c r="E33" i="29" s="1"/>
  <c r="C29" i="29"/>
  <c r="C34" i="29" s="1"/>
  <c r="E34" i="29" l="1"/>
  <c r="F34" i="29" s="1"/>
  <c r="G34" i="29" s="1"/>
  <c r="C33" i="29"/>
  <c r="F33" i="29" s="1"/>
  <c r="G33" i="29" s="1"/>
  <c r="D32" i="29"/>
  <c r="D35" i="29" s="1"/>
  <c r="E32" i="29"/>
  <c r="I36" i="30"/>
  <c r="I37" i="30"/>
  <c r="I33" i="30"/>
  <c r="F32" i="29" l="1"/>
  <c r="G32" i="29" s="1"/>
  <c r="E35" i="29"/>
  <c r="C35" i="29"/>
  <c r="D12" i="29"/>
  <c r="C12" i="29"/>
  <c r="D8" i="29"/>
  <c r="D11" i="29" s="1"/>
  <c r="D13" i="29" s="1"/>
  <c r="E8" i="29"/>
  <c r="E12" i="29" s="1"/>
  <c r="C8" i="29"/>
  <c r="C11" i="29" s="1"/>
  <c r="F35" i="29" l="1"/>
  <c r="C13" i="29"/>
  <c r="F12" i="29"/>
  <c r="G12" i="29" s="1"/>
  <c r="E11" i="29"/>
  <c r="E13" i="29" s="1"/>
  <c r="E6" i="16"/>
  <c r="D6" i="16"/>
  <c r="C6" i="16"/>
  <c r="B6" i="16"/>
  <c r="F11" i="29" l="1"/>
  <c r="G11" i="29" s="1"/>
  <c r="F13" i="29" l="1"/>
  <c r="G13" i="29" s="1"/>
  <c r="G54" i="6" l="1"/>
  <c r="G55" i="6"/>
  <c r="G56" i="6"/>
  <c r="G57" i="6"/>
  <c r="G58" i="6"/>
  <c r="G59" i="6"/>
  <c r="G60" i="6"/>
  <c r="G61" i="6"/>
  <c r="G62" i="6"/>
  <c r="G63" i="6"/>
  <c r="F53" i="6"/>
  <c r="E53" i="6"/>
  <c r="D53" i="6"/>
  <c r="D54" i="6" s="1"/>
  <c r="D55" i="6" s="1"/>
  <c r="D56" i="6" s="1"/>
  <c r="D57" i="6" s="1"/>
  <c r="D58" i="6" s="1"/>
  <c r="D59" i="6" s="1"/>
  <c r="D60" i="6" s="1"/>
  <c r="D61" i="6" s="1"/>
  <c r="D62" i="6" s="1"/>
  <c r="D63" i="6" s="1"/>
  <c r="S54" i="1"/>
  <c r="S55" i="1"/>
  <c r="S56" i="1"/>
  <c r="S57" i="1"/>
  <c r="S58" i="1"/>
  <c r="S53" i="1"/>
  <c r="Q54" i="1"/>
  <c r="Q55" i="1"/>
  <c r="Q56" i="1"/>
  <c r="Q57" i="1"/>
  <c r="Q58" i="1"/>
  <c r="Q53" i="1"/>
  <c r="O54" i="1"/>
  <c r="O55" i="1"/>
  <c r="O56" i="1"/>
  <c r="O57" i="1"/>
  <c r="O58" i="1"/>
  <c r="O53" i="1"/>
  <c r="O59" i="1" s="1"/>
  <c r="D4" i="5" s="1"/>
  <c r="L59" i="1"/>
  <c r="N59" i="1"/>
  <c r="P59" i="1"/>
  <c r="R59" i="1"/>
  <c r="M54" i="1"/>
  <c r="M55" i="1"/>
  <c r="M56" i="1"/>
  <c r="M57" i="1"/>
  <c r="M58" i="1"/>
  <c r="M53" i="1"/>
  <c r="M59" i="1" s="1"/>
  <c r="C4" i="5" s="1"/>
  <c r="I59" i="1"/>
  <c r="H59" i="1"/>
  <c r="J58" i="1"/>
  <c r="K58" i="1" s="1"/>
  <c r="J57" i="1"/>
  <c r="K57" i="1" s="1"/>
  <c r="J56" i="1"/>
  <c r="K56" i="1" s="1"/>
  <c r="J55" i="1"/>
  <c r="K55" i="1" s="1"/>
  <c r="J54" i="1"/>
  <c r="K54" i="1" s="1"/>
  <c r="J53" i="1"/>
  <c r="J41" i="1"/>
  <c r="K41" i="1" s="1"/>
  <c r="L41" i="1"/>
  <c r="M41" i="1" s="1"/>
  <c r="L42" i="1"/>
  <c r="M42" i="1" s="1"/>
  <c r="L43" i="1"/>
  <c r="M43" i="1" s="1"/>
  <c r="L44" i="1"/>
  <c r="M44" i="1" s="1"/>
  <c r="L45" i="1"/>
  <c r="M45" i="1" s="1"/>
  <c r="L46" i="1"/>
  <c r="M46" i="1" s="1"/>
  <c r="L47" i="1"/>
  <c r="M47" i="1" s="1"/>
  <c r="L48" i="1"/>
  <c r="M48" i="1" s="1"/>
  <c r="I49" i="1"/>
  <c r="H49" i="1"/>
  <c r="L49" i="1" s="1"/>
  <c r="N49" i="1" s="1"/>
  <c r="P49" i="1" s="1"/>
  <c r="R49" i="1" s="1"/>
  <c r="J48" i="1"/>
  <c r="K48" i="1" s="1"/>
  <c r="J47" i="1"/>
  <c r="K47" i="1" s="1"/>
  <c r="J46" i="1"/>
  <c r="K46" i="1" s="1"/>
  <c r="J45" i="1"/>
  <c r="K45" i="1" s="1"/>
  <c r="J44" i="1"/>
  <c r="K44" i="1" s="1"/>
  <c r="J43" i="1"/>
  <c r="K43" i="1" s="1"/>
  <c r="J42" i="1"/>
  <c r="K42" i="1" s="1"/>
  <c r="F22" i="6"/>
  <c r="H63" i="6" l="1"/>
  <c r="G53" i="6"/>
  <c r="H53" i="6" s="1"/>
  <c r="H62" i="6"/>
  <c r="H60" i="6"/>
  <c r="H58" i="6"/>
  <c r="H56" i="6"/>
  <c r="H54" i="6"/>
  <c r="H61" i="6"/>
  <c r="H59" i="6"/>
  <c r="H57" i="6"/>
  <c r="H55" i="6"/>
  <c r="S59" i="1"/>
  <c r="F4" i="5" s="1"/>
  <c r="Q59" i="1"/>
  <c r="E4" i="5" s="1"/>
  <c r="J59" i="1"/>
  <c r="K53" i="1"/>
  <c r="K59" i="1" s="1"/>
  <c r="B4" i="5" s="1"/>
  <c r="N48" i="1"/>
  <c r="N46" i="1"/>
  <c r="N44" i="1"/>
  <c r="N42" i="1"/>
  <c r="N41" i="1"/>
  <c r="N47" i="1"/>
  <c r="N45" i="1"/>
  <c r="N43" i="1"/>
  <c r="M49" i="1"/>
  <c r="C6" i="5" s="1"/>
  <c r="J49" i="1"/>
  <c r="K49" i="1" s="1"/>
  <c r="B6" i="5" s="1"/>
  <c r="I67" i="6" l="1"/>
  <c r="P43" i="1"/>
  <c r="O43" i="1"/>
  <c r="P47" i="1"/>
  <c r="O47" i="1"/>
  <c r="P42" i="1"/>
  <c r="O42" i="1"/>
  <c r="P46" i="1"/>
  <c r="O46" i="1"/>
  <c r="P45" i="1"/>
  <c r="O45" i="1"/>
  <c r="P41" i="1"/>
  <c r="O41" i="1"/>
  <c r="P44" i="1"/>
  <c r="O44" i="1"/>
  <c r="P48" i="1"/>
  <c r="O48" i="1"/>
  <c r="O49" i="1" l="1"/>
  <c r="D6" i="5" s="1"/>
  <c r="Q48" i="1"/>
  <c r="R48" i="1"/>
  <c r="S48" i="1" s="1"/>
  <c r="Q44" i="1"/>
  <c r="R44" i="1"/>
  <c r="S44" i="1" s="1"/>
  <c r="R41" i="1"/>
  <c r="S41" i="1" s="1"/>
  <c r="Q41" i="1"/>
  <c r="R45" i="1"/>
  <c r="S45" i="1" s="1"/>
  <c r="Q45" i="1"/>
  <c r="Q46" i="1"/>
  <c r="R46" i="1"/>
  <c r="S46" i="1" s="1"/>
  <c r="Q42" i="1"/>
  <c r="R42" i="1"/>
  <c r="S42" i="1" s="1"/>
  <c r="R47" i="1"/>
  <c r="S47" i="1" s="1"/>
  <c r="Q47" i="1"/>
  <c r="R43" i="1"/>
  <c r="S43" i="1" s="1"/>
  <c r="Q43" i="1"/>
  <c r="S49" i="1" l="1"/>
  <c r="F6" i="5" s="1"/>
  <c r="Q49" i="1"/>
  <c r="E6" i="5" s="1"/>
  <c r="C47" i="6" l="1"/>
  <c r="C46" i="6"/>
  <c r="C22" i="6"/>
  <c r="C19" i="6"/>
  <c r="D27" i="1"/>
  <c r="E25" i="6"/>
  <c r="J4" i="6" s="1"/>
  <c r="C24" i="6"/>
  <c r="C23" i="6"/>
  <c r="C21" i="6"/>
  <c r="C20" i="6"/>
  <c r="D23" i="1"/>
  <c r="E23" i="1" s="1"/>
  <c r="D24" i="1"/>
  <c r="D25" i="1"/>
  <c r="D26" i="1"/>
  <c r="D28" i="1"/>
  <c r="C25" i="6" l="1"/>
  <c r="J3" i="6" s="1"/>
  <c r="K3" i="6" s="1"/>
  <c r="D29" i="1"/>
  <c r="C48" i="6"/>
  <c r="D48" i="6" s="1"/>
  <c r="C28" i="6" l="1"/>
  <c r="E28" i="6"/>
  <c r="G25" i="6"/>
  <c r="I25" i="6"/>
  <c r="K25" i="6"/>
  <c r="M20" i="6"/>
  <c r="N20" i="6" s="1"/>
  <c r="M21" i="6"/>
  <c r="N21" i="6" s="1"/>
  <c r="M22" i="6"/>
  <c r="N22" i="6" s="1"/>
  <c r="M23" i="6"/>
  <c r="N23" i="6" s="1"/>
  <c r="M24" i="6"/>
  <c r="N24" i="6" s="1"/>
  <c r="M19" i="6"/>
  <c r="L20" i="6"/>
  <c r="L21" i="6"/>
  <c r="L22" i="6"/>
  <c r="L23" i="6"/>
  <c r="L24" i="6"/>
  <c r="L19" i="6"/>
  <c r="D19" i="6"/>
  <c r="F19" i="6"/>
  <c r="H19" i="6"/>
  <c r="J19" i="6"/>
  <c r="D20" i="6"/>
  <c r="F20" i="6"/>
  <c r="H20" i="6"/>
  <c r="J20" i="6"/>
  <c r="D21" i="6"/>
  <c r="F21" i="6"/>
  <c r="H21" i="6"/>
  <c r="J21" i="6"/>
  <c r="D22" i="6"/>
  <c r="H22" i="6"/>
  <c r="J22" i="6"/>
  <c r="D23" i="6"/>
  <c r="F23" i="6"/>
  <c r="H23" i="6"/>
  <c r="J23" i="6"/>
  <c r="D24" i="6"/>
  <c r="F24" i="6"/>
  <c r="H24" i="6"/>
  <c r="J24" i="6"/>
  <c r="K28" i="6" l="1"/>
  <c r="J7" i="6"/>
  <c r="E9" i="6"/>
  <c r="J5" i="6"/>
  <c r="K4" i="6" s="1"/>
  <c r="D25" i="6"/>
  <c r="D26" i="6" s="1"/>
  <c r="I28" i="6"/>
  <c r="J6" i="6"/>
  <c r="G28" i="6"/>
  <c r="D9" i="6"/>
  <c r="G9" i="6"/>
  <c r="F9" i="6"/>
  <c r="C9" i="6"/>
  <c r="F25" i="6"/>
  <c r="L25" i="6"/>
  <c r="L26" i="6" s="1"/>
  <c r="J25" i="6"/>
  <c r="J26" i="6" s="1"/>
  <c r="M25" i="6"/>
  <c r="H25" i="6"/>
  <c r="N19" i="6"/>
  <c r="N25" i="6" s="1"/>
  <c r="N26" i="6" s="1"/>
  <c r="J51" i="5"/>
  <c r="J52" i="5"/>
  <c r="J53" i="5"/>
  <c r="J54" i="5"/>
  <c r="J55" i="5"/>
  <c r="J50" i="5"/>
  <c r="G51" i="5"/>
  <c r="G52" i="5"/>
  <c r="G53" i="5"/>
  <c r="G54" i="5"/>
  <c r="G55" i="5"/>
  <c r="G50" i="5"/>
  <c r="G40" i="5"/>
  <c r="G41" i="5"/>
  <c r="G42" i="5"/>
  <c r="G43" i="5"/>
  <c r="G44" i="5"/>
  <c r="G45" i="5"/>
  <c r="K6" i="6" l="1"/>
  <c r="K5" i="6"/>
  <c r="M28" i="6"/>
  <c r="C29" i="6"/>
  <c r="H26" i="6"/>
  <c r="G29" i="6" s="1"/>
  <c r="G32" i="6" s="1"/>
  <c r="F26" i="6"/>
  <c r="E29" i="6" s="1"/>
  <c r="K29" i="6"/>
  <c r="K32" i="6" s="1"/>
  <c r="I29" i="6"/>
  <c r="I32" i="6" s="1"/>
  <c r="B8" i="6"/>
  <c r="M32" i="6" l="1"/>
  <c r="E32" i="6"/>
  <c r="C32" i="6"/>
  <c r="E30" i="5" l="1"/>
  <c r="F30" i="5"/>
  <c r="G30" i="5"/>
  <c r="H30" i="5"/>
  <c r="E29" i="5"/>
  <c r="F29" i="5"/>
  <c r="G29" i="5"/>
  <c r="H29" i="5"/>
  <c r="H24" i="5"/>
  <c r="C28" i="5"/>
  <c r="F5" i="5" l="1"/>
  <c r="E5" i="5"/>
  <c r="D5" i="5"/>
  <c r="C5" i="5"/>
  <c r="P29" i="1"/>
  <c r="L28" i="1"/>
  <c r="M28" i="1"/>
  <c r="N28" i="1"/>
  <c r="O28" i="1"/>
  <c r="K28" i="1"/>
  <c r="L27" i="1"/>
  <c r="M27" i="1"/>
  <c r="N27" i="1"/>
  <c r="O27" i="1"/>
  <c r="K27" i="1"/>
  <c r="P27" i="1" s="1"/>
  <c r="C16" i="4"/>
  <c r="D15" i="4" s="1"/>
  <c r="C12" i="4"/>
  <c r="D11" i="4" s="1"/>
  <c r="C8" i="4"/>
  <c r="D7" i="4" s="1"/>
  <c r="C5" i="4" s="1"/>
  <c r="P33" i="1"/>
  <c r="I32" i="1"/>
  <c r="I30" i="1"/>
  <c r="L30" i="1"/>
  <c r="H5" i="1"/>
  <c r="H4" i="1" s="1"/>
  <c r="B7" i="2"/>
  <c r="B8" i="2" s="1"/>
  <c r="B17" i="2" s="1"/>
  <c r="B5" i="2"/>
  <c r="C16" i="2"/>
  <c r="I17" i="2" s="1"/>
  <c r="I28" i="2" s="1"/>
  <c r="B52" i="1"/>
  <c r="C7" i="6" s="1"/>
  <c r="B48" i="1"/>
  <c r="C47" i="1"/>
  <c r="C46" i="1"/>
  <c r="C45" i="1"/>
  <c r="C44" i="1"/>
  <c r="C41" i="1"/>
  <c r="B41" i="1"/>
  <c r="D40" i="1"/>
  <c r="E40" i="1" s="1"/>
  <c r="D39" i="1"/>
  <c r="E39" i="1" s="1"/>
  <c r="D38" i="1"/>
  <c r="E38" i="1" s="1"/>
  <c r="D37" i="1"/>
  <c r="E37" i="1" s="1"/>
  <c r="D36" i="1"/>
  <c r="E36" i="1" s="1"/>
  <c r="D35" i="1"/>
  <c r="E35" i="1" s="1"/>
  <c r="D34" i="1"/>
  <c r="E34" i="1" s="1"/>
  <c r="D33" i="1"/>
  <c r="E33" i="1" s="1"/>
  <c r="C29" i="1"/>
  <c r="B29" i="1"/>
  <c r="E28" i="1"/>
  <c r="E27" i="1"/>
  <c r="E26" i="1"/>
  <c r="E25" i="1"/>
  <c r="E24" i="1"/>
  <c r="B17" i="1"/>
  <c r="D16" i="1"/>
  <c r="C15" i="1"/>
  <c r="D15" i="1" s="1"/>
  <c r="C14" i="1"/>
  <c r="D14" i="1" s="1"/>
  <c r="C13" i="1"/>
  <c r="D13" i="1" s="1"/>
  <c r="C12" i="1"/>
  <c r="B9" i="1"/>
  <c r="B6" i="6" l="1"/>
  <c r="B3" i="6" s="1"/>
  <c r="B14" i="6" s="1"/>
  <c r="P28" i="1"/>
  <c r="C48" i="1"/>
  <c r="D12" i="6" s="1"/>
  <c r="P31" i="1"/>
  <c r="P32" i="1" s="1"/>
  <c r="C13" i="6"/>
  <c r="E13" i="6"/>
  <c r="G13" i="6"/>
  <c r="E7" i="6"/>
  <c r="G7" i="6"/>
  <c r="D13" i="6"/>
  <c r="F13" i="6"/>
  <c r="D7" i="6"/>
  <c r="F7" i="6"/>
  <c r="C4" i="6"/>
  <c r="D4" i="6"/>
  <c r="I34" i="1"/>
  <c r="C27" i="5"/>
  <c r="C26" i="5" s="1"/>
  <c r="C32" i="5" s="1"/>
  <c r="B8" i="5"/>
  <c r="C12" i="5"/>
  <c r="K30" i="1"/>
  <c r="O30" i="1"/>
  <c r="N30" i="1"/>
  <c r="M30" i="1"/>
  <c r="H18" i="1"/>
  <c r="M31" i="1"/>
  <c r="E29" i="1"/>
  <c r="E41" i="1"/>
  <c r="L3" i="6" s="1"/>
  <c r="L4" i="6" s="1"/>
  <c r="C17" i="2"/>
  <c r="D17" i="2" s="1"/>
  <c r="D41" i="1"/>
  <c r="C17" i="1"/>
  <c r="D12" i="1"/>
  <c r="D17" i="1" s="1"/>
  <c r="I29" i="2"/>
  <c r="C12" i="6" l="1"/>
  <c r="E12" i="6"/>
  <c r="B7" i="5"/>
  <c r="H11" i="1"/>
  <c r="G12" i="6"/>
  <c r="F12" i="6"/>
  <c r="L5" i="6"/>
  <c r="D11" i="6"/>
  <c r="D8" i="6" s="1"/>
  <c r="D10" i="6" s="1"/>
  <c r="E30" i="6" s="1"/>
  <c r="H10" i="1"/>
  <c r="C11" i="6"/>
  <c r="F4" i="6"/>
  <c r="E12" i="5"/>
  <c r="K31" i="1"/>
  <c r="B12" i="5"/>
  <c r="H13" i="1"/>
  <c r="B40" i="5"/>
  <c r="C33" i="5"/>
  <c r="H12" i="1"/>
  <c r="D5" i="6"/>
  <c r="F5" i="6"/>
  <c r="C5" i="6"/>
  <c r="E5" i="6"/>
  <c r="G5" i="6"/>
  <c r="B9" i="5"/>
  <c r="D30" i="5" s="1"/>
  <c r="L31" i="1"/>
  <c r="E4" i="6"/>
  <c r="D12" i="5"/>
  <c r="G4" i="6"/>
  <c r="F12" i="5"/>
  <c r="H8" i="1"/>
  <c r="P34" i="1"/>
  <c r="H23" i="5"/>
  <c r="H25" i="5" s="1"/>
  <c r="O31" i="1"/>
  <c r="N31" i="1"/>
  <c r="B18" i="2"/>
  <c r="B19" i="2" l="1"/>
  <c r="B5" i="5"/>
  <c r="D29" i="5"/>
  <c r="C8" i="6"/>
  <c r="C10" i="6" s="1"/>
  <c r="C30" i="6" s="1"/>
  <c r="E11" i="6"/>
  <c r="E8" i="6" s="1"/>
  <c r="E10" i="6" s="1"/>
  <c r="G30" i="6" s="1"/>
  <c r="L6" i="6"/>
  <c r="E33" i="6"/>
  <c r="H40" i="5"/>
  <c r="K50" i="5"/>
  <c r="H50" i="5"/>
  <c r="B10" i="5"/>
  <c r="C40" i="5"/>
  <c r="B36" i="5"/>
  <c r="D22" i="5"/>
  <c r="D21" i="5"/>
  <c r="B20" i="2"/>
  <c r="C33" i="6" l="1"/>
  <c r="G33" i="6"/>
  <c r="L7" i="6"/>
  <c r="G11" i="6" s="1"/>
  <c r="G8" i="6" s="1"/>
  <c r="G10" i="6" s="1"/>
  <c r="K30" i="6" s="1"/>
  <c r="K33" i="6" s="1"/>
  <c r="F11" i="6"/>
  <c r="F8" i="6" s="1"/>
  <c r="F10" i="6" s="1"/>
  <c r="I30" i="6" s="1"/>
  <c r="C10" i="5"/>
  <c r="E22" i="5"/>
  <c r="E21" i="5"/>
  <c r="B21" i="2"/>
  <c r="M33" i="6" l="1"/>
  <c r="I33" i="6"/>
  <c r="F21" i="5"/>
  <c r="D10" i="5"/>
  <c r="F22" i="5"/>
  <c r="B22" i="2"/>
  <c r="G22" i="5" l="1"/>
  <c r="G21" i="5"/>
  <c r="E10" i="5"/>
  <c r="B23" i="2"/>
  <c r="H22" i="5" l="1"/>
  <c r="H21" i="5" s="1"/>
  <c r="F10" i="5"/>
  <c r="B24" i="2"/>
  <c r="B25" i="2" l="1"/>
  <c r="B26" i="2" l="1"/>
  <c r="B27" i="2" l="1"/>
  <c r="B28" i="2" l="1"/>
  <c r="B29" i="2" l="1"/>
  <c r="B30" i="2" l="1"/>
  <c r="B31" i="2" l="1"/>
  <c r="B32" i="2" l="1"/>
  <c r="B33" i="2" l="1"/>
  <c r="B34" i="2" l="1"/>
  <c r="B35" i="2" l="1"/>
  <c r="B36" i="2" l="1"/>
  <c r="B37" i="2" s="1"/>
  <c r="E17" i="2" l="1"/>
  <c r="C18" i="2" s="1"/>
  <c r="D18" i="2" l="1"/>
  <c r="E18" i="2" l="1"/>
  <c r="C19" i="2" s="1"/>
  <c r="D19" i="2" s="1"/>
  <c r="E19" i="2" s="1"/>
  <c r="C20" i="2" s="1"/>
  <c r="D20" i="2"/>
  <c r="I18" i="2"/>
  <c r="B13" i="5" s="1"/>
  <c r="B14" i="5" s="1"/>
  <c r="B15" i="5" l="1"/>
  <c r="D31" i="5" s="1"/>
  <c r="D26" i="5" s="1"/>
  <c r="D32" i="5" s="1"/>
  <c r="E20" i="2"/>
  <c r="J18" i="2"/>
  <c r="J28" i="2"/>
  <c r="C6" i="6" l="1"/>
  <c r="C3" i="6" s="1"/>
  <c r="D33" i="5"/>
  <c r="B41" i="5"/>
  <c r="C21" i="2"/>
  <c r="J27" i="2"/>
  <c r="C41" i="5" l="1"/>
  <c r="C36" i="5"/>
  <c r="K51" i="5"/>
  <c r="H41" i="5"/>
  <c r="H51" i="5"/>
  <c r="C31" i="6"/>
  <c r="C14" i="6"/>
  <c r="J29" i="2"/>
  <c r="D21" i="2"/>
  <c r="C34" i="6" l="1"/>
  <c r="C36" i="6" s="1"/>
  <c r="C35" i="6"/>
  <c r="E21" i="2"/>
  <c r="C22" i="2" l="1"/>
  <c r="D22" i="2" l="1"/>
  <c r="E22" i="2" l="1"/>
  <c r="C23" i="2" l="1"/>
  <c r="D23" i="2" l="1"/>
  <c r="E23" i="2" l="1"/>
  <c r="C24" i="2" l="1"/>
  <c r="D24" i="2" l="1"/>
  <c r="I19" i="2"/>
  <c r="C13" i="5" s="1"/>
  <c r="C14" i="5" s="1"/>
  <c r="C15" i="5" l="1"/>
  <c r="E31" i="5" s="1"/>
  <c r="E26" i="5" s="1"/>
  <c r="E32" i="5" s="1"/>
  <c r="J19" i="2"/>
  <c r="E24" i="2"/>
  <c r="K28" i="2"/>
  <c r="D6" i="6" l="1"/>
  <c r="D3" i="6" s="1"/>
  <c r="C16" i="5"/>
  <c r="B42" i="5"/>
  <c r="E33" i="5"/>
  <c r="K27" i="2"/>
  <c r="C25" i="2"/>
  <c r="D36" i="5" l="1"/>
  <c r="C42" i="5"/>
  <c r="D14" i="6"/>
  <c r="E31" i="6"/>
  <c r="K52" i="5"/>
  <c r="H42" i="5"/>
  <c r="H52" i="5"/>
  <c r="D25" i="2"/>
  <c r="K29" i="2"/>
  <c r="E35" i="6" l="1"/>
  <c r="E34" i="6"/>
  <c r="E36" i="6" s="1"/>
  <c r="E25" i="2"/>
  <c r="C26" i="2" l="1"/>
  <c r="D26" i="2" l="1"/>
  <c r="E26" i="2" l="1"/>
  <c r="C27" i="2" l="1"/>
  <c r="D27" i="2" l="1"/>
  <c r="E27" i="2" l="1"/>
  <c r="C28" i="2" l="1"/>
  <c r="D28" i="2" l="1"/>
  <c r="I20" i="2"/>
  <c r="D13" i="5" s="1"/>
  <c r="D14" i="5" s="1"/>
  <c r="D15" i="5" l="1"/>
  <c r="F31" i="5" s="1"/>
  <c r="F26" i="5" s="1"/>
  <c r="F32" i="5" s="1"/>
  <c r="J20" i="2"/>
  <c r="E28" i="2"/>
  <c r="L28" i="2"/>
  <c r="E6" i="6" l="1"/>
  <c r="E3" i="6" s="1"/>
  <c r="D16" i="5"/>
  <c r="F33" i="5"/>
  <c r="B43" i="5"/>
  <c r="L27" i="2"/>
  <c r="C29" i="2"/>
  <c r="E36" i="5" l="1"/>
  <c r="C43" i="5"/>
  <c r="K53" i="5"/>
  <c r="H43" i="5"/>
  <c r="H53" i="5"/>
  <c r="G31" i="6"/>
  <c r="E14" i="6"/>
  <c r="D29" i="2"/>
  <c r="L29" i="2"/>
  <c r="G35" i="6" l="1"/>
  <c r="G34" i="6"/>
  <c r="G36" i="6" s="1"/>
  <c r="E29" i="2"/>
  <c r="C30" i="2" l="1"/>
  <c r="D30" i="2" l="1"/>
  <c r="E30" i="2" l="1"/>
  <c r="C31" i="2" l="1"/>
  <c r="D31" i="2" l="1"/>
  <c r="E31" i="2" l="1"/>
  <c r="C32" i="2" l="1"/>
  <c r="D32" i="2" l="1"/>
  <c r="I21" i="2"/>
  <c r="E13" i="5" s="1"/>
  <c r="E14" i="5" s="1"/>
  <c r="E15" i="5" l="1"/>
  <c r="G31" i="5" s="1"/>
  <c r="G26" i="5" s="1"/>
  <c r="G32" i="5" s="1"/>
  <c r="J21" i="2"/>
  <c r="E32" i="2"/>
  <c r="M28" i="2"/>
  <c r="F6" i="6" l="1"/>
  <c r="F3" i="6" s="1"/>
  <c r="B44" i="5"/>
  <c r="G33" i="5"/>
  <c r="E16" i="5"/>
  <c r="M27" i="2"/>
  <c r="C33" i="2"/>
  <c r="H44" i="5" l="1"/>
  <c r="H54" i="5"/>
  <c r="K54" i="5"/>
  <c r="I31" i="6"/>
  <c r="F14" i="6"/>
  <c r="F36" i="5"/>
  <c r="C44" i="5"/>
  <c r="D33" i="2"/>
  <c r="M29" i="2"/>
  <c r="I34" i="6" l="1"/>
  <c r="I36" i="6" s="1"/>
  <c r="I35" i="6"/>
  <c r="E33" i="2"/>
  <c r="C34" i="2" l="1"/>
  <c r="D34" i="2" l="1"/>
  <c r="E34" i="2" l="1"/>
  <c r="C35" i="2" l="1"/>
  <c r="D35" i="2" l="1"/>
  <c r="E35" i="2" l="1"/>
  <c r="C36" i="2" l="1"/>
  <c r="C37" i="2" s="1"/>
  <c r="D36" i="2" l="1"/>
  <c r="D37" i="2" s="1"/>
  <c r="I22" i="2"/>
  <c r="F13" i="5" s="1"/>
  <c r="F14" i="5" s="1"/>
  <c r="F15" i="5" l="1"/>
  <c r="H31" i="5" s="1"/>
  <c r="H26" i="5" s="1"/>
  <c r="H32" i="5" s="1"/>
  <c r="F16" i="5"/>
  <c r="J22" i="2"/>
  <c r="E36" i="2"/>
  <c r="N28" i="2"/>
  <c r="I23" i="2"/>
  <c r="G6" i="6" l="1"/>
  <c r="G3" i="6" s="1"/>
  <c r="O28" i="2"/>
  <c r="K39" i="5"/>
  <c r="M40" i="5" s="1"/>
  <c r="B45" i="5"/>
  <c r="H33" i="5"/>
  <c r="N27" i="2"/>
  <c r="J23" i="2"/>
  <c r="H45" i="5" l="1"/>
  <c r="H46" i="5" s="1"/>
  <c r="H55" i="5"/>
  <c r="H56" i="5" s="1"/>
  <c r="K55" i="5"/>
  <c r="K56" i="5" s="1"/>
  <c r="C45" i="5"/>
  <c r="G36" i="5"/>
  <c r="N44" i="5"/>
  <c r="O44" i="5" s="1"/>
  <c r="N41" i="5"/>
  <c r="O41" i="5" s="1"/>
  <c r="N45" i="5"/>
  <c r="O45" i="5" s="1"/>
  <c r="N42" i="5"/>
  <c r="O42" i="5" s="1"/>
  <c r="N40" i="5"/>
  <c r="O40" i="5" s="1"/>
  <c r="O46" i="5" s="1"/>
  <c r="N43" i="5"/>
  <c r="O43" i="5" s="1"/>
  <c r="K31" i="6"/>
  <c r="G14" i="6"/>
  <c r="N29" i="2"/>
  <c r="O27" i="2"/>
  <c r="O29" i="2" s="1"/>
  <c r="K34" i="6" l="1"/>
  <c r="K36" i="6" s="1"/>
  <c r="K35" i="6"/>
  <c r="M31" i="6"/>
  <c r="M35" i="6" l="1"/>
  <c r="A39" i="6" s="1"/>
  <c r="M34" i="6"/>
  <c r="M36" i="6" s="1"/>
</calcChain>
</file>

<file path=xl/sharedStrings.xml><?xml version="1.0" encoding="utf-8"?>
<sst xmlns="http://schemas.openxmlformats.org/spreadsheetml/2006/main" count="635" uniqueCount="379">
  <si>
    <t>Imovina:</t>
  </si>
  <si>
    <t>Troškovi:</t>
  </si>
  <si>
    <t>Traktor</t>
  </si>
  <si>
    <t>Plug</t>
  </si>
  <si>
    <t>Tanjurače</t>
  </si>
  <si>
    <t>Freza</t>
  </si>
  <si>
    <t>Polagač folije</t>
  </si>
  <si>
    <t>Destilerija</t>
  </si>
  <si>
    <t>Prostor za skladištenje i ured</t>
  </si>
  <si>
    <t>Ukupno:</t>
  </si>
  <si>
    <t>Kamate</t>
  </si>
  <si>
    <t>Godina</t>
  </si>
  <si>
    <t>Anuitet</t>
  </si>
  <si>
    <t>Otplatna kvota</t>
  </si>
  <si>
    <t>Ostatak duga</t>
  </si>
  <si>
    <t>2013.</t>
  </si>
  <si>
    <t xml:space="preserve"> Godina</t>
  </si>
  <si>
    <t>Godišnja kamata</t>
  </si>
  <si>
    <t>Godišnja otplata</t>
  </si>
  <si>
    <t>2014.</t>
  </si>
  <si>
    <t>2015.</t>
  </si>
  <si>
    <t>2016.</t>
  </si>
  <si>
    <t>2017.</t>
  </si>
  <si>
    <t>2018.</t>
  </si>
  <si>
    <t>god. Cca</t>
  </si>
  <si>
    <t>otplatna kvota</t>
  </si>
  <si>
    <t>kamata</t>
  </si>
  <si>
    <t xml:space="preserve"> </t>
  </si>
  <si>
    <t>Proizvodna aktivnost</t>
  </si>
  <si>
    <t>Broj zaposlenih</t>
  </si>
  <si>
    <t>Mjesečno</t>
  </si>
  <si>
    <t>Godišnje</t>
  </si>
  <si>
    <t>Vozač</t>
  </si>
  <si>
    <t>Poljoprivrednici(rad na zemlji)</t>
  </si>
  <si>
    <t>Prerađivači</t>
  </si>
  <si>
    <t>Prodavači</t>
  </si>
  <si>
    <t>Knjigovodstveni servis</t>
  </si>
  <si>
    <t>UKUPNO</t>
  </si>
  <si>
    <t>Podaci o ulaganju, prihodima i rashodima</t>
  </si>
  <si>
    <t>Column1</t>
  </si>
  <si>
    <t>Column2</t>
  </si>
  <si>
    <t>Column3</t>
  </si>
  <si>
    <t>5 godina</t>
  </si>
  <si>
    <t>1. Vijek projekta</t>
  </si>
  <si>
    <r>
      <rPr>
        <sz val="11"/>
        <color theme="1"/>
        <rFont val="Calibri"/>
        <family val="2"/>
        <charset val="238"/>
      </rPr>
      <t xml:space="preserve">• </t>
    </r>
    <r>
      <rPr>
        <sz val="11"/>
        <color theme="1"/>
        <rFont val="Calibri"/>
        <family val="2"/>
        <charset val="238"/>
        <scheme val="minor"/>
      </rPr>
      <t>Kredit</t>
    </r>
  </si>
  <si>
    <r>
      <rPr>
        <sz val="11"/>
        <color theme="1"/>
        <rFont val="Calibri"/>
        <family val="2"/>
        <charset val="238"/>
      </rPr>
      <t xml:space="preserve">• </t>
    </r>
    <r>
      <rPr>
        <sz val="11"/>
        <color theme="1"/>
        <rFont val="Calibri"/>
        <family val="2"/>
        <charset val="238"/>
        <scheme val="minor"/>
      </rPr>
      <t>Vlastita sredstva</t>
    </r>
  </si>
  <si>
    <t>3. Prihodi</t>
  </si>
  <si>
    <r>
      <rPr>
        <sz val="11"/>
        <color theme="1"/>
        <rFont val="Calibri"/>
        <family val="2"/>
        <charset val="238"/>
      </rPr>
      <t>•</t>
    </r>
    <r>
      <rPr>
        <sz val="11"/>
        <color theme="1"/>
        <rFont val="Calibri"/>
        <family val="2"/>
        <charset val="238"/>
        <scheme val="minor"/>
      </rPr>
      <t xml:space="preserve"> Svi proizvodi</t>
    </r>
  </si>
  <si>
    <t>4. Rashodi</t>
  </si>
  <si>
    <r>
      <rPr>
        <sz val="11"/>
        <color theme="1"/>
        <rFont val="Calibri"/>
        <family val="2"/>
        <charset val="238"/>
      </rPr>
      <t xml:space="preserve">• </t>
    </r>
    <r>
      <rPr>
        <sz val="11"/>
        <color theme="1"/>
        <rFont val="Calibri"/>
        <family val="2"/>
        <charset val="238"/>
        <scheme val="minor"/>
      </rPr>
      <t>Materijal</t>
    </r>
  </si>
  <si>
    <t>• Bruto plaće</t>
  </si>
  <si>
    <t>• Amortizacija</t>
  </si>
  <si>
    <t>oprema: 15%</t>
  </si>
  <si>
    <t>godišnje 20%</t>
  </si>
  <si>
    <t>• Rashodi kredita</t>
  </si>
  <si>
    <t>5. Porez na dobit</t>
  </si>
  <si>
    <t>građ. objekt: 3%</t>
  </si>
  <si>
    <t>Tablica ukupnih prihoda:</t>
  </si>
  <si>
    <t>Izlazne količine proizvoda za prodaju:</t>
  </si>
  <si>
    <t>Količine</t>
  </si>
  <si>
    <t>Prodajna cijena</t>
  </si>
  <si>
    <t>Dnevni prihod</t>
  </si>
  <si>
    <t>Godišnji prihod</t>
  </si>
  <si>
    <t>Sapun od lavande:</t>
  </si>
  <si>
    <t>Mirisne vrećice mala 0,02 kg</t>
  </si>
  <si>
    <t>Mirisne vrećice srednja 0,04 kg</t>
  </si>
  <si>
    <t>Mirisne vrećice velike 0,06 kg</t>
  </si>
  <si>
    <t>Poklon kutija lavande ( 2 mirisne vrećice-male i sapun)</t>
  </si>
  <si>
    <t>Eterično ulje lavande (10ml):</t>
  </si>
  <si>
    <t>UKUPNO:</t>
  </si>
  <si>
    <t>Tablica ukupnih troškova:</t>
  </si>
  <si>
    <t>Ulazne količine sirovine:</t>
  </si>
  <si>
    <t>Količine(kom):</t>
  </si>
  <si>
    <t>Nabavna cijena:</t>
  </si>
  <si>
    <t>Dnevni trošak  materijala</t>
  </si>
  <si>
    <t>Godišnji trošak</t>
  </si>
  <si>
    <t>Vrećice za pakiranje</t>
  </si>
  <si>
    <t>Glicerinska masa</t>
  </si>
  <si>
    <t>Prirodne boje</t>
  </si>
  <si>
    <t>Troškovi reklamiranja</t>
  </si>
  <si>
    <t>Celofan za sapune</t>
  </si>
  <si>
    <t>Kutije</t>
  </si>
  <si>
    <t>Bočice za eterična ulja</t>
  </si>
  <si>
    <t>Naljepnice s printom</t>
  </si>
  <si>
    <t>Troškovi komunalija</t>
  </si>
  <si>
    <t>Mjesečno u kn</t>
  </si>
  <si>
    <t>Godišnje u kn</t>
  </si>
  <si>
    <t>Struja</t>
  </si>
  <si>
    <t>Voda</t>
  </si>
  <si>
    <t>Gorivo</t>
  </si>
  <si>
    <t>Internet + telefonske usluga</t>
  </si>
  <si>
    <t>Čišćenje i održavanje</t>
  </si>
  <si>
    <t>Troškovi</t>
  </si>
  <si>
    <t>• Komunalije i održavanje</t>
  </si>
  <si>
    <t>Kredit (K)</t>
  </si>
  <si>
    <t>Vrijeme otpl. (n)</t>
  </si>
  <si>
    <t>Kamatna stopa (p)</t>
  </si>
  <si>
    <t>Kamatni faktor (r)</t>
  </si>
  <si>
    <t>Anuitet (a)</t>
  </si>
  <si>
    <t>Broj obroka (       )</t>
  </si>
  <si>
    <t>Redni broj</t>
  </si>
  <si>
    <t>Nabavna vrij. Invest</t>
  </si>
  <si>
    <t>Stopa otpisa</t>
  </si>
  <si>
    <t xml:space="preserve">Godine rada                                                 </t>
  </si>
  <si>
    <t>OVP</t>
  </si>
  <si>
    <t>INVESTICIJA</t>
  </si>
  <si>
    <t>Zemljište</t>
  </si>
  <si>
    <t>Građevinski objekti</t>
  </si>
  <si>
    <t>Oprema</t>
  </si>
  <si>
    <t>Sadnice</t>
  </si>
  <si>
    <t>SVEUKUPNO</t>
  </si>
  <si>
    <t>OST.VIJED.PROJEKTA</t>
  </si>
  <si>
    <t>Osnovna sredstva</t>
  </si>
  <si>
    <t>TOBS</t>
  </si>
  <si>
    <t>Naziv</t>
  </si>
  <si>
    <t>1.</t>
  </si>
  <si>
    <t>1.1.</t>
  </si>
  <si>
    <t>1.2.</t>
  </si>
  <si>
    <t>1.3.</t>
  </si>
  <si>
    <t>1.4.</t>
  </si>
  <si>
    <t>2.</t>
  </si>
  <si>
    <t>3.</t>
  </si>
  <si>
    <t>2. Visina ulaganja (ukupno)</t>
  </si>
  <si>
    <t>3.1.</t>
  </si>
  <si>
    <t>3.2.</t>
  </si>
  <si>
    <t>3.3.</t>
  </si>
  <si>
    <t>Potrebna TOBS u 2014.godini</t>
  </si>
  <si>
    <t>TRAJNA OBRTNA SREDSTVA</t>
  </si>
  <si>
    <t>Izračun potrebnih obrtnih sredstava</t>
  </si>
  <si>
    <t>Procjena vrijednosti potraživanja:</t>
  </si>
  <si>
    <t>Ukupna prodaja</t>
  </si>
  <si>
    <t>Dani naplate</t>
  </si>
  <si>
    <t>Procjena vrijednosti zaliha:</t>
  </si>
  <si>
    <t>Troškovi zaliha</t>
  </si>
  <si>
    <t>Dani vezivanja zaliha</t>
  </si>
  <si>
    <t>Procjena vrijednosti obveza prema dobavljačima</t>
  </si>
  <si>
    <t>Ukupni troškovi(od dobavljača)</t>
  </si>
  <si>
    <t>Dani plaćanja</t>
  </si>
  <si>
    <t>Godine rada                                                 2</t>
  </si>
  <si>
    <t>Godine rada                                                 3</t>
  </si>
  <si>
    <t>Godine rada                                                 4</t>
  </si>
  <si>
    <t>Godine rada                                                 5</t>
  </si>
  <si>
    <t>Column4</t>
  </si>
  <si>
    <t>Column5</t>
  </si>
  <si>
    <t>Column6</t>
  </si>
  <si>
    <t>6. TOBS</t>
  </si>
  <si>
    <t>Godina:</t>
  </si>
  <si>
    <t>Ukupni prihodi:</t>
  </si>
  <si>
    <t>Ukupni rashodi:</t>
  </si>
  <si>
    <t>Sirovine:</t>
  </si>
  <si>
    <t>Komunalije:</t>
  </si>
  <si>
    <t>Održavanje:</t>
  </si>
  <si>
    <t>Troškovi osoblja:</t>
  </si>
  <si>
    <t>EBITDA</t>
  </si>
  <si>
    <t>Amortizacija:</t>
  </si>
  <si>
    <t>Kamate:</t>
  </si>
  <si>
    <t>Dobit prije poreza:</t>
  </si>
  <si>
    <t>Porez (20%)</t>
  </si>
  <si>
    <t>Neto dobit:</t>
  </si>
  <si>
    <t>Račun dobiti i gubitka</t>
  </si>
  <si>
    <t>Obračun amortizacije</t>
  </si>
  <si>
    <t>OPIS:</t>
  </si>
  <si>
    <t>GODINE:</t>
  </si>
  <si>
    <t>Column7</t>
  </si>
  <si>
    <t>Column8</t>
  </si>
  <si>
    <t>Column9</t>
  </si>
  <si>
    <t>Column10</t>
  </si>
  <si>
    <t>I. PRIMICI</t>
  </si>
  <si>
    <t>Ukupni prihod</t>
  </si>
  <si>
    <t>Obrtna sredstva</t>
  </si>
  <si>
    <t>Ukupno OVP</t>
  </si>
  <si>
    <t>II. IZDACI</t>
  </si>
  <si>
    <t>Angažirana osnovna sredstva</t>
  </si>
  <si>
    <t>Angažirana TOBS</t>
  </si>
  <si>
    <t>Troškovi materijala i usluga</t>
  </si>
  <si>
    <t>Izdaci za osoblje</t>
  </si>
  <si>
    <t>Porezi</t>
  </si>
  <si>
    <t>III. NETO PRIMICI</t>
  </si>
  <si>
    <t>IV.KUMULATIV</t>
  </si>
  <si>
    <t>1. Vrijeme povrata sredstava</t>
  </si>
  <si>
    <t>Kumulativ neto primitaka</t>
  </si>
  <si>
    <t>0. god.</t>
  </si>
  <si>
    <t>1. god.</t>
  </si>
  <si>
    <t>2.god.</t>
  </si>
  <si>
    <t>3.god</t>
  </si>
  <si>
    <t>4.god.</t>
  </si>
  <si>
    <t>5.god</t>
  </si>
  <si>
    <t>God. Vijeka uporabe</t>
  </si>
  <si>
    <t>Neto primici ek.tijeka</t>
  </si>
  <si>
    <t>Kumulativ ek.tijeka</t>
  </si>
  <si>
    <t>Diskontna stopa</t>
  </si>
  <si>
    <t>Diskontni faktor</t>
  </si>
  <si>
    <t>Sadašnja vrijednost</t>
  </si>
  <si>
    <t>NSV</t>
  </si>
  <si>
    <t>Povrat uloženih sredstava ekonomskog tijeka:</t>
  </si>
  <si>
    <t>Ekonomski tijek</t>
  </si>
  <si>
    <t>IRR=</t>
  </si>
  <si>
    <t>Diskontna stopa2</t>
  </si>
  <si>
    <t>Diskontni faktor2</t>
  </si>
  <si>
    <t>Sadašnja vrijednost2</t>
  </si>
  <si>
    <t>1.Fiksni troškovi</t>
  </si>
  <si>
    <t>Amortizacija</t>
  </si>
  <si>
    <t>100% Troškova plaća</t>
  </si>
  <si>
    <t>30% Troškovi održavanja</t>
  </si>
  <si>
    <t>2. Varijabilni troškovi:</t>
  </si>
  <si>
    <t>Sirovine</t>
  </si>
  <si>
    <t>Komunalije</t>
  </si>
  <si>
    <t>70% Troškovi održavanja</t>
  </si>
  <si>
    <t>3. Ukupni troškovi:</t>
  </si>
  <si>
    <t>2013</t>
  </si>
  <si>
    <t>2014</t>
  </si>
  <si>
    <t>2015</t>
  </si>
  <si>
    <t>2016</t>
  </si>
  <si>
    <t>2017</t>
  </si>
  <si>
    <t>2018</t>
  </si>
  <si>
    <t>broj usluga</t>
  </si>
  <si>
    <t>prosječno po usluzi</t>
  </si>
  <si>
    <t>Column12</t>
  </si>
  <si>
    <t>Column14</t>
  </si>
  <si>
    <t>Opis proizvoda</t>
  </si>
  <si>
    <t>cijena proiz.</t>
  </si>
  <si>
    <t>količina</t>
  </si>
  <si>
    <t>iznos</t>
  </si>
  <si>
    <t>1</t>
  </si>
  <si>
    <t>2</t>
  </si>
  <si>
    <t>3</t>
  </si>
  <si>
    <t>4</t>
  </si>
  <si>
    <t>5</t>
  </si>
  <si>
    <t>pro</t>
  </si>
  <si>
    <t>Ukupan br.proiz./prihod</t>
  </si>
  <si>
    <t>Prosječna cijena usluge</t>
  </si>
  <si>
    <t>Količina usluge</t>
  </si>
  <si>
    <t>Varijabilni tošak (prosječno)</t>
  </si>
  <si>
    <t>Fiksni toškovi</t>
  </si>
  <si>
    <t>Ukupan prihod</t>
  </si>
  <si>
    <t>Varijabilni tošak (ukupno)</t>
  </si>
  <si>
    <t>Ukupni troškovi</t>
  </si>
  <si>
    <t>TOČKA POKRIĆA</t>
  </si>
  <si>
    <t>Financijski rezultat</t>
  </si>
  <si>
    <t>q</t>
  </si>
  <si>
    <t>pc</t>
  </si>
  <si>
    <t>vt</t>
  </si>
  <si>
    <t>FT</t>
  </si>
  <si>
    <t>VT=q*vt</t>
  </si>
  <si>
    <t>UP=q*pc</t>
  </si>
  <si>
    <t>UT=FT+VT</t>
  </si>
  <si>
    <t>qp=FT/(pc-vt)</t>
  </si>
  <si>
    <t>FR=UP-UT</t>
  </si>
  <si>
    <t>Raspon</t>
  </si>
  <si>
    <t>Min</t>
  </si>
  <si>
    <t>Max</t>
  </si>
  <si>
    <t>razredi</t>
  </si>
  <si>
    <t>Bin</t>
  </si>
  <si>
    <t>More</t>
  </si>
  <si>
    <t>Frequency</t>
  </si>
  <si>
    <t>Cumulative %</t>
  </si>
  <si>
    <t>kol.02</t>
  </si>
  <si>
    <t>kol.03</t>
  </si>
  <si>
    <t>kol.04</t>
  </si>
  <si>
    <t>kol.05</t>
  </si>
  <si>
    <t>kumulativni niz</t>
  </si>
  <si>
    <t>xi</t>
  </si>
  <si>
    <t>fi*xi</t>
  </si>
  <si>
    <t>i</t>
  </si>
  <si>
    <t>Prave granice od</t>
  </si>
  <si>
    <t>Prave granice do</t>
  </si>
  <si>
    <t>Ulazne varijable</t>
  </si>
  <si>
    <t>Gornja</t>
  </si>
  <si>
    <t>Donja</t>
  </si>
  <si>
    <t xml:space="preserve">Osnovna </t>
  </si>
  <si>
    <t>Točka pokrića</t>
  </si>
  <si>
    <t>Many Inputs, One Output</t>
  </si>
  <si>
    <t>Single-Factor Sensitivity Analysis</t>
  </si>
  <si>
    <t xml:space="preserve">Date </t>
  </si>
  <si>
    <t xml:space="preserve">Time </t>
  </si>
  <si>
    <t xml:space="preserve">Workbook </t>
  </si>
  <si>
    <t>Projekt km.xlsx</t>
  </si>
  <si>
    <t xml:space="preserve">Output Cell </t>
  </si>
  <si>
    <t>Corresponding Input Value</t>
  </si>
  <si>
    <t>Output Value</t>
  </si>
  <si>
    <t>Percent</t>
  </si>
  <si>
    <t>Input Variable</t>
  </si>
  <si>
    <t>Base</t>
  </si>
  <si>
    <t>Swing</t>
  </si>
  <si>
    <t>Swing^2</t>
  </si>
  <si>
    <t>Low Output</t>
  </si>
  <si>
    <t>Base Case</t>
  </si>
  <si>
    <t>High Output</t>
  </si>
  <si>
    <t>Low</t>
  </si>
  <si>
    <t>High</t>
  </si>
  <si>
    <t>SensIt 1.53 Trial Version, Only For Evaluation</t>
  </si>
  <si>
    <t>TreePlan.com</t>
  </si>
  <si>
    <t>This Version Not Licensed For Commercial Or Student Use</t>
  </si>
  <si>
    <t>Input Value as % of Base</t>
  </si>
  <si>
    <t>Low %</t>
  </si>
  <si>
    <t>Base %</t>
  </si>
  <si>
    <t>High %</t>
  </si>
  <si>
    <t>Input Value</t>
  </si>
  <si>
    <t>Percent of Base</t>
  </si>
  <si>
    <t>Fiksni troškovi</t>
  </si>
  <si>
    <t>Sheet10!$B$6</t>
  </si>
  <si>
    <t>Rangiranje alternative da li je bolja prodaja preko web shopa ili slobodnom prodajom na samoj lokaciji poduzeća</t>
  </si>
  <si>
    <t>web shop</t>
  </si>
  <si>
    <t>slobodna prodaja</t>
  </si>
  <si>
    <t>Laura</t>
  </si>
  <si>
    <t>Luka</t>
  </si>
  <si>
    <t>Antonija</t>
  </si>
  <si>
    <t>ukupno</t>
  </si>
  <si>
    <t>težina kriterija</t>
  </si>
  <si>
    <t>alternative</t>
  </si>
  <si>
    <t>troškovi održavanja</t>
  </si>
  <si>
    <t>troškovi web mjesta, izrada web stranice i održavanje</t>
  </si>
  <si>
    <t xml:space="preserve">nema dodatnog troška </t>
  </si>
  <si>
    <t>dostupna svima (na bilokojoj lokaciji)</t>
  </si>
  <si>
    <t>dostupno na samoj lokaciji</t>
  </si>
  <si>
    <t>dostupnost</t>
  </si>
  <si>
    <t>veća</t>
  </si>
  <si>
    <t>manja</t>
  </si>
  <si>
    <t xml:space="preserve">prodaja </t>
  </si>
  <si>
    <t>1/7</t>
  </si>
  <si>
    <t>1/5</t>
  </si>
  <si>
    <t>prodaja</t>
  </si>
  <si>
    <t xml:space="preserve">dostupnost </t>
  </si>
  <si>
    <t>nabavna cijena</t>
  </si>
  <si>
    <t>prodajna cijena</t>
  </si>
  <si>
    <t>prihod</t>
  </si>
  <si>
    <t>Poslovnio partner koji uzima naše proizvode za štand na Plit.jezerima prekinuo je poslovanje. Da bi namirio dug prema nama zauzvrat nam je ponudio 10kg vesaličkog češnjak za 60 kn po kg. Zbog moguće dodatne zarade OPG Radić razmišlja da li da kupi još 5kg radi dodatne zarade.</t>
  </si>
  <si>
    <t>potražnja</t>
  </si>
  <si>
    <t>ponuda</t>
  </si>
  <si>
    <t>Waldow kriterij</t>
  </si>
  <si>
    <t>Maxmin</t>
  </si>
  <si>
    <t>Maxmax</t>
  </si>
  <si>
    <t>H(i)</t>
  </si>
  <si>
    <t>α=0,5</t>
  </si>
  <si>
    <t>Hurwitzov kriterij H(i)=α*vmin+(1-α)*vmax</t>
  </si>
  <si>
    <t>Savageov kriterij žaljenja</t>
  </si>
  <si>
    <t>index</t>
  </si>
  <si>
    <t>Laplace</t>
  </si>
  <si>
    <t>Laplaceov kriterij očekivane vrijednosti</t>
  </si>
  <si>
    <t>vjero.potražnje</t>
  </si>
  <si>
    <t xml:space="preserve"> Kriterij očekivane vrijednosti</t>
  </si>
  <si>
    <t>Očekiv. Vrijed.</t>
  </si>
  <si>
    <t>Ukupno</t>
  </si>
  <si>
    <t>Prognoziranje određivanjem trenda</t>
  </si>
  <si>
    <t>Količine u tis.</t>
  </si>
  <si>
    <t xml:space="preserve">Godina </t>
  </si>
  <si>
    <t>Xt</t>
  </si>
  <si>
    <t>Količine u tis. (Yt)</t>
  </si>
  <si>
    <t>y=17,8x+115</t>
  </si>
  <si>
    <t>x=0 u 2014. godini</t>
  </si>
  <si>
    <t>jedinica za x je 1 godina</t>
  </si>
  <si>
    <t>jedinica za y je 1000 proizvoda</t>
  </si>
  <si>
    <t>y=bx+a</t>
  </si>
  <si>
    <t>a=115</t>
  </si>
  <si>
    <t>Očekivana vrijednost za broj proizvoda u ishodišnoj godini 2014. iznosi 115.000,00.</t>
  </si>
  <si>
    <t>b=17,8</t>
  </si>
  <si>
    <t>U promatranom razdoblju broj noćenja se godišnje povećavao za 17.800,00.</t>
  </si>
  <si>
    <t>s=b/prosječan y*100</t>
  </si>
  <si>
    <t>Linearni trend</t>
  </si>
  <si>
    <t>Eksponencijalni trend</t>
  </si>
  <si>
    <r>
      <t>y=a*e</t>
    </r>
    <r>
      <rPr>
        <sz val="11"/>
        <color theme="1"/>
        <rFont val="Calibri"/>
        <family val="2"/>
        <charset val="238"/>
      </rPr>
      <t>ᶜᵡ</t>
    </r>
  </si>
  <si>
    <t>y=a*b^x</t>
  </si>
  <si>
    <r>
      <t>b=e</t>
    </r>
    <r>
      <rPr>
        <sz val="11"/>
        <color theme="1"/>
        <rFont val="Calibri"/>
        <family val="2"/>
        <charset val="238"/>
      </rPr>
      <t>ᶜ</t>
    </r>
  </si>
  <si>
    <t>b=</t>
  </si>
  <si>
    <t>y=115,5*1,1309^x</t>
  </si>
  <si>
    <t xml:space="preserve">x=0 u 2014. godini </t>
  </si>
  <si>
    <t>jedinica za x je jedna godina</t>
  </si>
  <si>
    <t>jedinica za 1 je 1000 proizvoda</t>
  </si>
  <si>
    <t>a=115,5</t>
  </si>
  <si>
    <t>b=1,1309</t>
  </si>
  <si>
    <t>U promatranom razdoblju prodaja se godišnje povećavala za 11,82%.</t>
  </si>
  <si>
    <t>s=(b-1)*100</t>
  </si>
  <si>
    <t>U promatranom razdoblju od 2013. do 2018. broj prodanih proizvoda se prosječno godišnje povećao za 13,09%.</t>
  </si>
  <si>
    <t>prioriteti</t>
  </si>
  <si>
    <t>sum</t>
  </si>
  <si>
    <t>težine kriterija</t>
  </si>
  <si>
    <t>troš.održavanja</t>
  </si>
  <si>
    <t>Ukupni prioriteti</t>
  </si>
  <si>
    <t>Zaključni odabir za bolji kanal prodaje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</si>
</sst>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 _k_n_-;\-* #,##0.00\ _k_n_-;_-* &quot;-&quot;??\ _k_n_-;_-@_-"/>
    <numFmt numFmtId="164" formatCode="#,##0.0"/>
    <numFmt numFmtId="165" formatCode="#,##0.0000"/>
    <numFmt numFmtId="166" formatCode="0.0000%"/>
    <numFmt numFmtId="167" formatCode="#,##0.00\ &quot;kn&quot;"/>
    <numFmt numFmtId="168" formatCode="#,##0.000"/>
    <numFmt numFmtId="169" formatCode="0.0%"/>
    <numFmt numFmtId="170" formatCode="0.0000"/>
    <numFmt numFmtId="171" formatCode="0.000"/>
  </numFmts>
  <fonts count="15" x14ac:knownFonts="1">
    <font>
      <sz val="11"/>
      <color theme="1"/>
      <name val="Calibri"/>
      <family val="2"/>
      <charset val="238"/>
      <scheme val="minor"/>
    </font>
    <font>
      <sz val="11"/>
      <color theme="1"/>
      <name val="Calibri"/>
      <family val="2"/>
      <charset val="238"/>
    </font>
    <font>
      <sz val="11"/>
      <color theme="7"/>
      <name val="Calibri"/>
      <family val="2"/>
      <charset val="238"/>
      <scheme val="minor"/>
    </font>
    <font>
      <b/>
      <sz val="11"/>
      <color theme="9"/>
      <name val="Calibri"/>
      <family val="2"/>
      <charset val="238"/>
      <scheme val="minor"/>
    </font>
    <font>
      <b/>
      <sz val="12"/>
      <color theme="9"/>
      <name val="Calibri"/>
      <family val="2"/>
      <charset val="238"/>
      <scheme val="minor"/>
    </font>
    <font>
      <sz val="11"/>
      <color theme="1"/>
      <name val="Calibri"/>
      <family val="2"/>
      <charset val="238"/>
      <scheme val="minor"/>
    </font>
    <font>
      <b/>
      <sz val="11"/>
      <color theme="0"/>
      <name val="Calibri"/>
      <family val="2"/>
      <charset val="238"/>
      <scheme val="minor"/>
    </font>
    <font>
      <sz val="11"/>
      <color rgb="FFFF0000"/>
      <name val="Calibri"/>
      <family val="2"/>
      <charset val="238"/>
      <scheme val="minor"/>
    </font>
    <font>
      <b/>
      <sz val="11"/>
      <color theme="1"/>
      <name val="Calibri"/>
      <family val="2"/>
      <charset val="238"/>
      <scheme val="minor"/>
    </font>
    <font>
      <sz val="11"/>
      <color theme="0"/>
      <name val="Calibri"/>
      <family val="2"/>
      <charset val="238"/>
      <scheme val="minor"/>
    </font>
    <font>
      <sz val="11"/>
      <color theme="1"/>
      <name val="Arial"/>
      <family val="2"/>
      <charset val="238"/>
    </font>
    <font>
      <b/>
      <sz val="11"/>
      <color theme="1"/>
      <name val="Arial"/>
      <family val="2"/>
      <charset val="238"/>
    </font>
    <font>
      <b/>
      <sz val="11"/>
      <name val="Arial"/>
      <family val="2"/>
      <charset val="238"/>
    </font>
    <font>
      <i/>
      <sz val="11"/>
      <color theme="1"/>
      <name val="Calibri"/>
      <family val="2"/>
      <charset val="238"/>
      <scheme val="minor"/>
    </font>
    <font>
      <u/>
      <sz val="11"/>
      <color theme="1"/>
      <name val="Calibri"/>
      <family val="2"/>
      <charset val="238"/>
      <scheme val="minor"/>
    </font>
  </fonts>
  <fills count="8">
    <fill>
      <patternFill patternType="none"/>
    </fill>
    <fill>
      <patternFill patternType="gray125"/>
    </fill>
    <fill>
      <patternFill patternType="solid">
        <fgColor theme="9"/>
      </patternFill>
    </fill>
    <fill>
      <patternFill patternType="solid">
        <fgColor theme="9" tint="0.59999389629810485"/>
        <bgColor indexed="65"/>
      </patternFill>
    </fill>
    <fill>
      <patternFill patternType="solid">
        <fgColor theme="9" tint="0.59999389629810485"/>
        <bgColor theme="9" tint="0.59999389629810485"/>
      </patternFill>
    </fill>
    <fill>
      <patternFill patternType="solid">
        <fgColor theme="9" tint="0.79998168889431442"/>
        <bgColor theme="9" tint="0.79998168889431442"/>
      </patternFill>
    </fill>
    <fill>
      <patternFill patternType="solid">
        <fgColor theme="9"/>
        <bgColor theme="9"/>
      </patternFill>
    </fill>
    <fill>
      <patternFill patternType="solid">
        <fgColor theme="9" tint="0.79998168889431442"/>
        <bgColor indexed="65"/>
      </patternFill>
    </fill>
  </fills>
  <borders count="68">
    <border>
      <left/>
      <right/>
      <top/>
      <bottom/>
      <diagonal/>
    </border>
    <border>
      <left/>
      <right style="thin">
        <color indexed="64"/>
      </right>
      <top/>
      <bottom/>
      <diagonal/>
    </border>
    <border>
      <left style="thick">
        <color theme="0"/>
      </left>
      <right/>
      <top style="thick">
        <color theme="0"/>
      </top>
      <bottom style="thick">
        <color theme="0"/>
      </bottom>
      <diagonal/>
    </border>
    <border>
      <left/>
      <right style="thick">
        <color theme="0"/>
      </right>
      <top style="thick">
        <color theme="0"/>
      </top>
      <bottom style="thick">
        <color theme="0"/>
      </bottom>
      <diagonal/>
    </border>
    <border>
      <left/>
      <right/>
      <top/>
      <bottom style="double">
        <color indexed="64"/>
      </bottom>
      <diagonal/>
    </border>
    <border>
      <left/>
      <right style="thin">
        <color indexed="64"/>
      </right>
      <top/>
      <bottom style="double">
        <color indexed="64"/>
      </bottom>
      <diagonal/>
    </border>
    <border>
      <left style="thin">
        <color theme="0"/>
      </left>
      <right style="thin">
        <color theme="0"/>
      </right>
      <top/>
      <bottom/>
      <diagonal/>
    </border>
    <border>
      <left/>
      <right/>
      <top style="thin">
        <color indexed="64"/>
      </top>
      <bottom style="thin">
        <color indexed="64"/>
      </bottom>
      <diagonal/>
    </border>
    <border>
      <left/>
      <right/>
      <top/>
      <bottom style="thin">
        <color indexed="64"/>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bottom style="thin">
        <color theme="0"/>
      </bottom>
      <diagonal/>
    </border>
    <border>
      <left style="thin">
        <color theme="0"/>
      </left>
      <right/>
      <top/>
      <bottom style="thin">
        <color theme="0"/>
      </bottom>
      <diagonal/>
    </border>
    <border>
      <left/>
      <right style="thin">
        <color indexed="64"/>
      </right>
      <top style="thin">
        <color indexed="64"/>
      </top>
      <bottom style="thin">
        <color theme="0"/>
      </bottom>
      <diagonal/>
    </border>
    <border>
      <left/>
      <right style="thin">
        <color indexed="64"/>
      </right>
      <top style="thin">
        <color theme="0"/>
      </top>
      <bottom style="thin">
        <color theme="0"/>
      </bottom>
      <diagonal/>
    </border>
    <border>
      <left style="thin">
        <color theme="0"/>
      </left>
      <right style="thin">
        <color indexed="64"/>
      </right>
      <top style="thin">
        <color indexed="64"/>
      </top>
      <bottom style="thin">
        <color theme="0"/>
      </bottom>
      <diagonal/>
    </border>
    <border>
      <left style="thin">
        <color theme="0"/>
      </left>
      <right style="thin">
        <color indexed="64"/>
      </right>
      <top style="thin">
        <color theme="0"/>
      </top>
      <bottom style="thin">
        <color theme="0"/>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double">
        <color indexed="64"/>
      </left>
      <right style="thin">
        <color indexed="64"/>
      </right>
      <top style="thin">
        <color indexed="64"/>
      </top>
      <bottom/>
      <diagonal/>
    </border>
    <border>
      <left style="double">
        <color auto="1"/>
      </left>
      <right/>
      <top style="double">
        <color auto="1"/>
      </top>
      <bottom/>
      <diagonal/>
    </border>
    <border>
      <left/>
      <right/>
      <top style="double">
        <color auto="1"/>
      </top>
      <bottom/>
      <diagonal/>
    </border>
    <border>
      <left style="double">
        <color auto="1"/>
      </left>
      <right/>
      <top/>
      <bottom/>
      <diagonal/>
    </border>
    <border>
      <left/>
      <right/>
      <top style="thin">
        <color indexed="64"/>
      </top>
      <bottom/>
      <diagonal/>
    </border>
    <border>
      <left/>
      <right style="double">
        <color indexed="64"/>
      </right>
      <top style="double">
        <color indexed="64"/>
      </top>
      <bottom/>
      <diagonal/>
    </border>
    <border>
      <left/>
      <right style="double">
        <color indexed="64"/>
      </right>
      <top/>
      <bottom/>
      <diagonal/>
    </border>
    <border>
      <left/>
      <right/>
      <top/>
      <bottom style="medium">
        <color indexed="64"/>
      </bottom>
      <diagonal/>
    </border>
    <border>
      <left/>
      <right style="double">
        <color indexed="64"/>
      </right>
      <top/>
      <bottom style="thin">
        <color indexed="64"/>
      </bottom>
      <diagonal/>
    </border>
    <border>
      <left/>
      <right style="double">
        <color indexed="64"/>
      </right>
      <top style="thin">
        <color indexed="64"/>
      </top>
      <bottom style="thin">
        <color indexed="64"/>
      </bottom>
      <diagonal/>
    </border>
    <border>
      <left style="thin">
        <color indexed="64"/>
      </left>
      <right style="double">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style="double">
        <color indexed="64"/>
      </left>
      <right/>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thin">
        <color indexed="64"/>
      </top>
      <bottom style="double">
        <color indexed="64"/>
      </bottom>
      <diagonal/>
    </border>
    <border>
      <left/>
      <right/>
      <top style="medium">
        <color indexed="64"/>
      </top>
      <bottom/>
      <diagonal/>
    </border>
    <border>
      <left style="double">
        <color auto="1"/>
      </left>
      <right/>
      <top style="medium">
        <color auto="1"/>
      </top>
      <bottom/>
      <diagonal/>
    </border>
    <border>
      <left/>
      <right style="double">
        <color indexed="64"/>
      </right>
      <top style="medium">
        <color indexed="64"/>
      </top>
      <bottom/>
      <diagonal/>
    </border>
    <border>
      <left style="thin">
        <color indexed="64"/>
      </left>
      <right style="thin">
        <color indexed="64"/>
      </right>
      <top/>
      <bottom/>
      <diagonal/>
    </border>
    <border>
      <left/>
      <right style="thin">
        <color theme="0"/>
      </right>
      <top style="thin">
        <color indexed="64"/>
      </top>
      <bottom/>
      <diagonal/>
    </border>
    <border>
      <left/>
      <right style="thin">
        <color theme="0"/>
      </right>
      <top/>
      <bottom/>
      <diagonal/>
    </border>
    <border>
      <left/>
      <right/>
      <top/>
      <bottom style="thin">
        <color theme="0"/>
      </bottom>
      <diagonal/>
    </border>
    <border>
      <left style="thin">
        <color indexed="64"/>
      </left>
      <right/>
      <top/>
      <bottom style="thin">
        <color theme="0"/>
      </bottom>
      <diagonal/>
    </border>
    <border>
      <left/>
      <right style="thin">
        <color indexed="64"/>
      </right>
      <top/>
      <bottom style="thin">
        <color theme="0"/>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s>
  <cellStyleXfs count="7">
    <xf numFmtId="0" fontId="0" fillId="0" borderId="0"/>
    <xf numFmtId="43" fontId="5" fillId="0" borderId="0" applyFont="0" applyFill="0" applyBorder="0" applyAlignment="0" applyProtection="0"/>
    <xf numFmtId="0" fontId="9" fillId="2" borderId="0" applyNumberFormat="0" applyBorder="0" applyAlignment="0" applyProtection="0"/>
    <xf numFmtId="0" fontId="5" fillId="3" borderId="0" applyNumberFormat="0" applyBorder="0" applyAlignment="0" applyProtection="0"/>
    <xf numFmtId="0" fontId="5" fillId="0" borderId="0"/>
    <xf numFmtId="0" fontId="5" fillId="7" borderId="0" applyNumberFormat="0" applyBorder="0" applyAlignment="0" applyProtection="0"/>
    <xf numFmtId="9" fontId="5" fillId="0" borderId="0" applyFont="0" applyFill="0" applyBorder="0" applyAlignment="0" applyProtection="0"/>
  </cellStyleXfs>
  <cellXfs count="291">
    <xf numFmtId="0" fontId="0" fillId="0" borderId="0" xfId="0"/>
    <xf numFmtId="0" fontId="0" fillId="0" borderId="0" xfId="0" applyBorder="1"/>
    <xf numFmtId="3" fontId="0" fillId="0" borderId="0" xfId="0" applyNumberFormat="1"/>
    <xf numFmtId="0" fontId="0" fillId="0" borderId="0" xfId="0" applyAlignment="1">
      <alignment horizontal="center"/>
    </xf>
    <xf numFmtId="4" fontId="0" fillId="0" borderId="0" xfId="0" applyNumberFormat="1"/>
    <xf numFmtId="0" fontId="0" fillId="0" borderId="0" xfId="0" applyNumberFormat="1"/>
    <xf numFmtId="4" fontId="0" fillId="0" borderId="0" xfId="0" applyNumberFormat="1" applyBorder="1"/>
    <xf numFmtId="3" fontId="0" fillId="0" borderId="0" xfId="0" applyNumberFormat="1" applyBorder="1"/>
    <xf numFmtId="0" fontId="0" fillId="0" borderId="0" xfId="0" applyAlignment="1">
      <alignment horizontal="left"/>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center" vertical="top" wrapText="1"/>
    </xf>
    <xf numFmtId="0" fontId="2" fillId="0" borderId="0" xfId="0" applyFont="1" applyAlignment="1">
      <alignment horizontal="left" vertical="top" wrapText="1"/>
    </xf>
    <xf numFmtId="164" fontId="0" fillId="0" borderId="0" xfId="0" applyNumberFormat="1"/>
    <xf numFmtId="4" fontId="0" fillId="0" borderId="0" xfId="0" applyNumberFormat="1" applyAlignment="1">
      <alignment horizontal="center"/>
    </xf>
    <xf numFmtId="2" fontId="0" fillId="0" borderId="0" xfId="0" applyNumberFormat="1" applyAlignment="1">
      <alignment horizontal="center"/>
    </xf>
    <xf numFmtId="0" fontId="0" fillId="0" borderId="0" xfId="0" applyBorder="1" applyAlignment="1">
      <alignment wrapText="1"/>
    </xf>
    <xf numFmtId="0" fontId="0" fillId="0" borderId="0" xfId="0" applyAlignment="1" applyProtection="1">
      <alignment horizontal="center"/>
      <protection locked="0"/>
    </xf>
    <xf numFmtId="0" fontId="0" fillId="0" borderId="0" xfId="0" applyProtection="1">
      <protection locked="0"/>
    </xf>
    <xf numFmtId="0" fontId="0" fillId="0" borderId="0" xfId="0" applyNumberFormat="1" applyAlignment="1">
      <alignment horizontal="center"/>
    </xf>
    <xf numFmtId="4" fontId="0" fillId="0" borderId="0" xfId="0" applyNumberFormat="1" applyAlignment="1">
      <alignment vertical="center"/>
    </xf>
    <xf numFmtId="4" fontId="0" fillId="0" borderId="0" xfId="0" applyNumberFormat="1" applyAlignment="1">
      <alignment horizontal="left"/>
    </xf>
    <xf numFmtId="0" fontId="7" fillId="0" borderId="0" xfId="0" applyFont="1"/>
    <xf numFmtId="4" fontId="7" fillId="0" borderId="0" xfId="0" applyNumberFormat="1" applyFont="1"/>
    <xf numFmtId="0" fontId="10" fillId="0" borderId="0" xfId="4" applyFont="1" applyFill="1" applyBorder="1" applyAlignment="1">
      <alignment horizontal="center" vertical="center" wrapText="1"/>
    </xf>
    <xf numFmtId="10" fontId="10" fillId="0" borderId="0" xfId="4" applyNumberFormat="1" applyFont="1" applyFill="1" applyBorder="1" applyAlignment="1">
      <alignment horizontal="center"/>
    </xf>
    <xf numFmtId="165" fontId="10" fillId="0" borderId="0" xfId="4" applyNumberFormat="1" applyFont="1" applyFill="1" applyBorder="1"/>
    <xf numFmtId="4" fontId="10" fillId="0" borderId="0" xfId="0" applyNumberFormat="1" applyFont="1" applyFill="1" applyBorder="1"/>
    <xf numFmtId="0" fontId="10" fillId="0" borderId="0" xfId="4" applyFont="1" applyFill="1" applyBorder="1" applyAlignment="1">
      <alignment horizontal="center" wrapText="1"/>
    </xf>
    <xf numFmtId="4" fontId="10" fillId="0" borderId="0" xfId="4" applyNumberFormat="1" applyFont="1" applyFill="1" applyBorder="1"/>
    <xf numFmtId="0" fontId="10" fillId="0" borderId="0" xfId="4" applyFont="1" applyFill="1" applyBorder="1"/>
    <xf numFmtId="0" fontId="12" fillId="0" borderId="0" xfId="4" applyFont="1" applyFill="1" applyBorder="1"/>
    <xf numFmtId="3" fontId="11" fillId="0" borderId="0" xfId="4" applyNumberFormat="1" applyFont="1" applyFill="1" applyBorder="1"/>
    <xf numFmtId="166" fontId="0" fillId="0" borderId="0" xfId="0" applyNumberFormat="1"/>
    <xf numFmtId="0" fontId="8" fillId="0" borderId="0" xfId="0" applyFont="1"/>
    <xf numFmtId="0" fontId="6" fillId="2" borderId="2" xfId="2" applyFont="1" applyBorder="1" applyAlignment="1">
      <alignment horizontal="center" vertical="center"/>
    </xf>
    <xf numFmtId="166" fontId="6" fillId="2" borderId="3" xfId="2" applyNumberFormat="1" applyFont="1" applyBorder="1" applyAlignment="1">
      <alignment horizontal="left" vertical="center"/>
    </xf>
    <xf numFmtId="166" fontId="10" fillId="0" borderId="0" xfId="4" applyNumberFormat="1" applyFont="1" applyFill="1" applyBorder="1" applyAlignment="1">
      <alignment horizontal="center" vertical="top"/>
    </xf>
    <xf numFmtId="0" fontId="0" fillId="0" borderId="0" xfId="0" applyFill="1" applyBorder="1" applyAlignment="1">
      <alignment vertical="top"/>
    </xf>
    <xf numFmtId="9" fontId="10" fillId="0" borderId="0" xfId="4" applyNumberFormat="1" applyFont="1" applyFill="1" applyBorder="1" applyAlignment="1">
      <alignment horizontal="center" vertical="top"/>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center"/>
    </xf>
    <xf numFmtId="0" fontId="8" fillId="0" borderId="0" xfId="0" applyFont="1" applyBorder="1"/>
    <xf numFmtId="0" fontId="0" fillId="0" borderId="0" xfId="0" applyBorder="1" applyAlignment="1">
      <alignment horizontal="left" vertical="top" wrapText="1"/>
    </xf>
    <xf numFmtId="2" fontId="0" fillId="0" borderId="0" xfId="0" applyNumberFormat="1"/>
    <xf numFmtId="167" fontId="0" fillId="0" borderId="0" xfId="0" applyNumberFormat="1"/>
    <xf numFmtId="167" fontId="0" fillId="0" borderId="0" xfId="0" applyNumberFormat="1" applyAlignment="1">
      <alignment vertical="center"/>
    </xf>
    <xf numFmtId="1" fontId="0" fillId="0" borderId="0" xfId="0" applyNumberFormat="1"/>
    <xf numFmtId="3" fontId="0" fillId="0" borderId="0" xfId="0" applyNumberFormat="1" applyBorder="1" applyAlignment="1">
      <alignment vertical="center"/>
    </xf>
    <xf numFmtId="3" fontId="0" fillId="0" borderId="0" xfId="0" applyNumberFormat="1" applyAlignment="1">
      <alignment vertical="center"/>
    </xf>
    <xf numFmtId="167" fontId="0" fillId="0" borderId="0" xfId="0" applyNumberFormat="1" applyAlignment="1">
      <alignment horizontal="right"/>
    </xf>
    <xf numFmtId="0" fontId="0" fillId="0" borderId="0" xfId="0" applyAlignment="1">
      <alignment horizontal="right"/>
    </xf>
    <xf numFmtId="3" fontId="0" fillId="0" borderId="0" xfId="1" applyNumberFormat="1" applyFont="1" applyAlignment="1">
      <alignment vertical="top"/>
    </xf>
    <xf numFmtId="3" fontId="0" fillId="0" borderId="0" xfId="1" applyNumberFormat="1" applyFont="1" applyAlignment="1">
      <alignment horizontal="right"/>
    </xf>
    <xf numFmtId="3" fontId="0" fillId="0" borderId="0" xfId="0" applyNumberFormat="1" applyAlignment="1">
      <alignment horizontal="right"/>
    </xf>
    <xf numFmtId="168" fontId="0" fillId="0" borderId="0" xfId="1" applyNumberFormat="1" applyFont="1" applyAlignment="1">
      <alignment horizontal="right"/>
    </xf>
    <xf numFmtId="0" fontId="0" fillId="0" borderId="1" xfId="0" applyBorder="1"/>
    <xf numFmtId="3" fontId="0" fillId="0" borderId="5" xfId="0" applyNumberFormat="1" applyBorder="1"/>
    <xf numFmtId="0" fontId="0" fillId="0" borderId="4" xfId="0" applyBorder="1"/>
    <xf numFmtId="0" fontId="5" fillId="3" borderId="6" xfId="3" applyBorder="1"/>
    <xf numFmtId="0" fontId="0" fillId="0" borderId="0" xfId="0" applyNumberFormat="1" applyFill="1" applyBorder="1" applyAlignment="1"/>
    <xf numFmtId="10" fontId="0" fillId="0" borderId="0" xfId="0" applyNumberFormat="1" applyFill="1" applyBorder="1" applyAlignment="1"/>
    <xf numFmtId="1" fontId="0" fillId="3" borderId="6" xfId="3" applyNumberFormat="1" applyFont="1" applyBorder="1"/>
    <xf numFmtId="10" fontId="0" fillId="0" borderId="0" xfId="0" applyNumberFormat="1"/>
    <xf numFmtId="0" fontId="13" fillId="0" borderId="7" xfId="0" applyFont="1" applyFill="1" applyBorder="1" applyAlignment="1">
      <alignment horizontal="center"/>
    </xf>
    <xf numFmtId="17" fontId="0" fillId="0" borderId="0" xfId="0" applyNumberFormat="1"/>
    <xf numFmtId="17" fontId="0" fillId="0" borderId="0" xfId="0" applyNumberFormat="1" applyAlignment="1">
      <alignment wrapText="1"/>
    </xf>
    <xf numFmtId="0" fontId="0" fillId="0" borderId="0" xfId="0" applyFill="1" applyBorder="1" applyAlignment="1">
      <alignment horizontal="center"/>
    </xf>
    <xf numFmtId="0" fontId="0" fillId="0" borderId="0" xfId="0" applyBorder="1" applyAlignment="1">
      <alignment horizontal="center"/>
    </xf>
    <xf numFmtId="0" fontId="0" fillId="0" borderId="8" xfId="0" applyFill="1" applyBorder="1" applyAlignment="1"/>
    <xf numFmtId="0" fontId="0" fillId="0" borderId="8" xfId="0" applyFill="1" applyBorder="1" applyAlignment="1">
      <alignment horizontal="center"/>
    </xf>
    <xf numFmtId="10" fontId="0" fillId="0" borderId="8" xfId="0" applyNumberFormat="1" applyFill="1" applyBorder="1" applyAlignment="1"/>
    <xf numFmtId="0" fontId="0" fillId="0" borderId="8" xfId="0" applyBorder="1" applyAlignment="1">
      <alignment horizontal="center"/>
    </xf>
    <xf numFmtId="0" fontId="0" fillId="0" borderId="8" xfId="0" applyBorder="1"/>
    <xf numFmtId="3" fontId="0" fillId="0" borderId="0" xfId="0" applyNumberFormat="1" applyBorder="1" applyAlignment="1">
      <alignment horizontal="right"/>
    </xf>
    <xf numFmtId="3" fontId="0" fillId="0" borderId="0" xfId="0" applyNumberFormat="1" applyFill="1" applyBorder="1" applyAlignment="1"/>
    <xf numFmtId="0" fontId="0" fillId="5" borderId="9" xfId="0" applyFont="1" applyFill="1" applyBorder="1"/>
    <xf numFmtId="0" fontId="0" fillId="4" borderId="9" xfId="0" applyFont="1" applyFill="1" applyBorder="1"/>
    <xf numFmtId="0" fontId="6" fillId="6" borderId="12" xfId="0" applyFont="1" applyFill="1" applyBorder="1"/>
    <xf numFmtId="0" fontId="6" fillId="6" borderId="13" xfId="0" applyFont="1" applyFill="1" applyBorder="1"/>
    <xf numFmtId="0" fontId="6" fillId="6" borderId="14" xfId="0" applyFont="1" applyFill="1" applyBorder="1"/>
    <xf numFmtId="3" fontId="0" fillId="4" borderId="11" xfId="0" applyNumberFormat="1" applyFont="1" applyFill="1" applyBorder="1"/>
    <xf numFmtId="3" fontId="0" fillId="5" borderId="11" xfId="0" applyNumberFormat="1" applyFont="1" applyFill="1" applyBorder="1"/>
    <xf numFmtId="0" fontId="0" fillId="4" borderId="11" xfId="0" applyFont="1" applyFill="1" applyBorder="1"/>
    <xf numFmtId="0" fontId="0" fillId="4" borderId="10" xfId="0" applyFont="1" applyFill="1" applyBorder="1"/>
    <xf numFmtId="4" fontId="0" fillId="4" borderId="11" xfId="0" applyNumberFormat="1" applyFont="1" applyFill="1" applyBorder="1"/>
    <xf numFmtId="164" fontId="0" fillId="5" borderId="11" xfId="0" applyNumberFormat="1" applyFont="1" applyFill="1" applyBorder="1"/>
    <xf numFmtId="4" fontId="0" fillId="4" borderId="10" xfId="0" applyNumberFormat="1" applyFont="1" applyFill="1" applyBorder="1"/>
    <xf numFmtId="14" fontId="0" fillId="0" borderId="0" xfId="0" applyNumberFormat="1" applyAlignment="1">
      <alignment horizontal="left"/>
    </xf>
    <xf numFmtId="19" fontId="0" fillId="0" borderId="0" xfId="0" applyNumberFormat="1" applyAlignment="1">
      <alignment horizontal="left"/>
    </xf>
    <xf numFmtId="0" fontId="0" fillId="4" borderId="18" xfId="0" applyFont="1" applyFill="1" applyBorder="1"/>
    <xf numFmtId="0" fontId="0" fillId="5" borderId="18" xfId="0" applyFont="1" applyFill="1" applyBorder="1"/>
    <xf numFmtId="3" fontId="0" fillId="0" borderId="21" xfId="0" applyNumberFormat="1" applyBorder="1"/>
    <xf numFmtId="3" fontId="0" fillId="0" borderId="1" xfId="0" applyNumberFormat="1" applyBorder="1"/>
    <xf numFmtId="0" fontId="8" fillId="0" borderId="0" xfId="0" applyFont="1" applyAlignment="1">
      <alignment horizontal="right"/>
    </xf>
    <xf numFmtId="169" fontId="0" fillId="5" borderId="0" xfId="0" applyNumberFormat="1" applyFont="1" applyFill="1" applyBorder="1"/>
    <xf numFmtId="169" fontId="0" fillId="4" borderId="0" xfId="0" applyNumberFormat="1" applyFont="1" applyFill="1" applyBorder="1"/>
    <xf numFmtId="169" fontId="0" fillId="4" borderId="1" xfId="0" applyNumberFormat="1" applyFont="1" applyFill="1" applyBorder="1"/>
    <xf numFmtId="169" fontId="0" fillId="5" borderId="1" xfId="0" applyNumberFormat="1" applyFont="1" applyFill="1" applyBorder="1"/>
    <xf numFmtId="169" fontId="0" fillId="0" borderId="0" xfId="0" applyNumberFormat="1"/>
    <xf numFmtId="3" fontId="0" fillId="4" borderId="16" xfId="0" applyNumberFormat="1" applyFont="1" applyFill="1" applyBorder="1"/>
    <xf numFmtId="3" fontId="0" fillId="4" borderId="15" xfId="0" applyNumberFormat="1" applyFont="1" applyFill="1" applyBorder="1"/>
    <xf numFmtId="0" fontId="0" fillId="4" borderId="17" xfId="0" applyFont="1" applyFill="1" applyBorder="1"/>
    <xf numFmtId="3" fontId="0" fillId="4" borderId="19" xfId="0" applyNumberFormat="1" applyFont="1" applyFill="1" applyBorder="1"/>
    <xf numFmtId="169" fontId="0" fillId="4" borderId="21" xfId="0" applyNumberFormat="1" applyFont="1" applyFill="1" applyBorder="1"/>
    <xf numFmtId="164" fontId="0" fillId="5" borderId="10" xfId="0" applyNumberFormat="1" applyFont="1" applyFill="1" applyBorder="1"/>
    <xf numFmtId="164" fontId="0" fillId="5" borderId="9" xfId="0" applyNumberFormat="1" applyFont="1" applyFill="1" applyBorder="1"/>
    <xf numFmtId="4" fontId="0" fillId="4" borderId="9" xfId="0" applyNumberFormat="1" applyFont="1" applyFill="1" applyBorder="1"/>
    <xf numFmtId="164" fontId="0" fillId="5" borderId="20" xfId="0" applyNumberFormat="1" applyFont="1" applyFill="1" applyBorder="1"/>
    <xf numFmtId="4" fontId="0" fillId="4" borderId="20" xfId="0" applyNumberFormat="1" applyFont="1" applyFill="1" applyBorder="1"/>
    <xf numFmtId="0" fontId="0" fillId="0" borderId="0" xfId="0" applyAlignment="1"/>
    <xf numFmtId="168" fontId="0" fillId="0" borderId="0" xfId="0" applyNumberFormat="1"/>
    <xf numFmtId="0" fontId="8" fillId="0" borderId="0" xfId="0" applyFont="1" applyFill="1" applyBorder="1"/>
    <xf numFmtId="49" fontId="0" fillId="0" borderId="0" xfId="0" applyNumberFormat="1" applyBorder="1" applyAlignment="1">
      <alignment horizontal="right"/>
    </xf>
    <xf numFmtId="2" fontId="0" fillId="0" borderId="0" xfId="0" applyNumberFormat="1" applyBorder="1" applyAlignment="1">
      <alignment horizontal="right"/>
    </xf>
    <xf numFmtId="1" fontId="0" fillId="0" borderId="0" xfId="0" applyNumberFormat="1" applyBorder="1" applyAlignment="1">
      <alignment horizontal="right"/>
    </xf>
    <xf numFmtId="0" fontId="0" fillId="0" borderId="27" xfId="0" applyBorder="1"/>
    <xf numFmtId="0" fontId="0" fillId="0" borderId="35" xfId="0" applyBorder="1"/>
    <xf numFmtId="0" fontId="8" fillId="0" borderId="0" xfId="0" applyFont="1" applyBorder="1" applyAlignment="1"/>
    <xf numFmtId="0" fontId="8" fillId="0" borderId="0" xfId="0" applyFont="1" applyBorder="1" applyAlignment="1">
      <alignment vertical="center"/>
    </xf>
    <xf numFmtId="2" fontId="5" fillId="7" borderId="36" xfId="5" applyNumberFormat="1" applyBorder="1" applyAlignment="1">
      <alignment horizontal="right"/>
    </xf>
    <xf numFmtId="2" fontId="5" fillId="7" borderId="41" xfId="5" applyNumberFormat="1" applyBorder="1" applyAlignment="1">
      <alignment horizontal="right"/>
    </xf>
    <xf numFmtId="2" fontId="5" fillId="7" borderId="21" xfId="5" applyNumberFormat="1" applyBorder="1" applyAlignment="1">
      <alignment horizontal="right"/>
    </xf>
    <xf numFmtId="2" fontId="5" fillId="7" borderId="32" xfId="5" applyNumberFormat="1" applyBorder="1" applyAlignment="1">
      <alignment horizontal="right"/>
    </xf>
    <xf numFmtId="2" fontId="5" fillId="7" borderId="0" xfId="5" applyNumberFormat="1" applyBorder="1" applyAlignment="1">
      <alignment horizontal="right"/>
    </xf>
    <xf numFmtId="2" fontId="5" fillId="7" borderId="1" xfId="5" applyNumberFormat="1" applyBorder="1" applyAlignment="1">
      <alignment horizontal="right"/>
    </xf>
    <xf numFmtId="2" fontId="5" fillId="7" borderId="35" xfId="5" applyNumberFormat="1" applyBorder="1" applyAlignment="1">
      <alignment horizontal="right"/>
    </xf>
    <xf numFmtId="2" fontId="5" fillId="7" borderId="8" xfId="5" applyNumberFormat="1" applyBorder="1" applyAlignment="1">
      <alignment horizontal="right"/>
    </xf>
    <xf numFmtId="2" fontId="5" fillId="7" borderId="27" xfId="5" applyNumberFormat="1" applyBorder="1" applyAlignment="1">
      <alignment horizontal="right"/>
    </xf>
    <xf numFmtId="0" fontId="5" fillId="7" borderId="22" xfId="5" applyBorder="1"/>
    <xf numFmtId="0" fontId="5" fillId="7" borderId="27" xfId="5" applyBorder="1"/>
    <xf numFmtId="0" fontId="5" fillId="7" borderId="0" xfId="5"/>
    <xf numFmtId="4" fontId="5" fillId="7" borderId="0" xfId="5" applyNumberFormat="1"/>
    <xf numFmtId="4" fontId="5" fillId="7" borderId="41" xfId="5" applyNumberFormat="1" applyBorder="1"/>
    <xf numFmtId="0" fontId="5" fillId="7" borderId="21" xfId="5" applyBorder="1"/>
    <xf numFmtId="0" fontId="5" fillId="7" borderId="22" xfId="5" applyBorder="1" applyAlignment="1">
      <alignment vertical="top" wrapText="1"/>
    </xf>
    <xf numFmtId="1" fontId="5" fillId="7" borderId="36" xfId="5" applyNumberFormat="1" applyBorder="1" applyAlignment="1">
      <alignment horizontal="right"/>
    </xf>
    <xf numFmtId="1" fontId="5" fillId="7" borderId="41" xfId="5" applyNumberFormat="1" applyBorder="1" applyAlignment="1">
      <alignment horizontal="right"/>
    </xf>
    <xf numFmtId="1" fontId="5" fillId="7" borderId="21" xfId="5" applyNumberFormat="1" applyBorder="1" applyAlignment="1">
      <alignment horizontal="right"/>
    </xf>
    <xf numFmtId="1" fontId="5" fillId="7" borderId="32" xfId="5" applyNumberFormat="1" applyBorder="1" applyAlignment="1">
      <alignment horizontal="right"/>
    </xf>
    <xf numFmtId="1" fontId="5" fillId="7" borderId="0" xfId="5" applyNumberFormat="1" applyBorder="1" applyAlignment="1">
      <alignment horizontal="right"/>
    </xf>
    <xf numFmtId="1" fontId="5" fillId="7" borderId="1" xfId="5" applyNumberFormat="1" applyBorder="1" applyAlignment="1"/>
    <xf numFmtId="1" fontId="5" fillId="7" borderId="35" xfId="5" applyNumberFormat="1" applyBorder="1" applyAlignment="1">
      <alignment horizontal="right"/>
    </xf>
    <xf numFmtId="1" fontId="5" fillId="7" borderId="8" xfId="5" applyNumberFormat="1" applyBorder="1" applyAlignment="1">
      <alignment horizontal="right"/>
    </xf>
    <xf numFmtId="1" fontId="5" fillId="7" borderId="27" xfId="5" applyNumberFormat="1" applyBorder="1" applyAlignment="1"/>
    <xf numFmtId="2" fontId="5" fillId="7" borderId="1" xfId="5" applyNumberFormat="1" applyBorder="1" applyAlignment="1"/>
    <xf numFmtId="2" fontId="5" fillId="7" borderId="27" xfId="5" applyNumberFormat="1" applyBorder="1" applyAlignment="1"/>
    <xf numFmtId="0" fontId="5" fillId="7" borderId="36" xfId="5" applyBorder="1"/>
    <xf numFmtId="0" fontId="5" fillId="7" borderId="38" xfId="5" applyBorder="1"/>
    <xf numFmtId="0" fontId="5" fillId="7" borderId="39" xfId="5" applyBorder="1"/>
    <xf numFmtId="0" fontId="5" fillId="7" borderId="42" xfId="5" applyBorder="1"/>
    <xf numFmtId="1" fontId="5" fillId="7" borderId="40" xfId="5" applyNumberFormat="1" applyBorder="1"/>
    <xf numFmtId="0" fontId="5" fillId="7" borderId="40" xfId="5" applyBorder="1"/>
    <xf numFmtId="0" fontId="5" fillId="7" borderId="0" xfId="5" applyBorder="1"/>
    <xf numFmtId="0" fontId="5" fillId="7" borderId="43" xfId="5" applyBorder="1"/>
    <xf numFmtId="0" fontId="5" fillId="7" borderId="44" xfId="5" applyBorder="1"/>
    <xf numFmtId="0" fontId="5" fillId="7" borderId="54" xfId="5" applyBorder="1"/>
    <xf numFmtId="0" fontId="5" fillId="7" borderId="35" xfId="5" applyBorder="1"/>
    <xf numFmtId="0" fontId="5" fillId="7" borderId="23" xfId="5" applyBorder="1"/>
    <xf numFmtId="0" fontId="5" fillId="7" borderId="34" xfId="5" applyBorder="1"/>
    <xf numFmtId="0" fontId="8" fillId="7" borderId="40" xfId="5" applyFont="1" applyBorder="1"/>
    <xf numFmtId="0" fontId="8" fillId="7" borderId="0" xfId="5" applyFont="1" applyBorder="1"/>
    <xf numFmtId="0" fontId="8" fillId="7" borderId="29" xfId="5" applyFont="1" applyBorder="1"/>
    <xf numFmtId="0" fontId="8" fillId="7" borderId="53" xfId="5" applyFont="1" applyBorder="1"/>
    <xf numFmtId="0" fontId="8" fillId="7" borderId="56" xfId="5" applyFont="1" applyBorder="1"/>
    <xf numFmtId="0" fontId="8" fillId="7" borderId="33" xfId="5" applyFont="1" applyBorder="1"/>
    <xf numFmtId="0" fontId="8" fillId="7" borderId="25" xfId="5" applyFont="1" applyBorder="1"/>
    <xf numFmtId="0" fontId="8" fillId="7" borderId="26" xfId="5" applyFont="1" applyBorder="1"/>
    <xf numFmtId="0" fontId="8" fillId="7" borderId="31" xfId="5" applyFont="1" applyBorder="1"/>
    <xf numFmtId="0" fontId="8" fillId="7" borderId="36" xfId="5" applyFont="1" applyBorder="1"/>
    <xf numFmtId="0" fontId="8" fillId="7" borderId="55" xfId="5" applyFont="1" applyBorder="1"/>
    <xf numFmtId="0" fontId="8" fillId="7" borderId="54" xfId="5" applyFont="1" applyBorder="1"/>
    <xf numFmtId="0" fontId="8" fillId="7" borderId="38" xfId="5" applyFont="1" applyBorder="1"/>
    <xf numFmtId="0" fontId="8" fillId="7" borderId="51" xfId="5" applyFont="1" applyBorder="1"/>
    <xf numFmtId="0" fontId="8" fillId="7" borderId="21" xfId="5" applyFont="1" applyBorder="1"/>
    <xf numFmtId="0" fontId="8" fillId="7" borderId="49" xfId="5" applyFont="1" applyBorder="1"/>
    <xf numFmtId="0" fontId="8" fillId="7" borderId="45" xfId="5" applyFont="1" applyBorder="1"/>
    <xf numFmtId="0" fontId="8" fillId="7" borderId="46" xfId="5" applyFont="1" applyBorder="1"/>
    <xf numFmtId="0" fontId="8" fillId="7" borderId="48" xfId="5" applyFont="1" applyBorder="1"/>
    <xf numFmtId="0" fontId="8" fillId="7" borderId="23" xfId="5" applyFont="1" applyBorder="1" applyAlignment="1">
      <alignment vertical="center"/>
    </xf>
    <xf numFmtId="0" fontId="8" fillId="7" borderId="51" xfId="5" applyFont="1" applyBorder="1" applyAlignment="1">
      <alignment vertical="center"/>
    </xf>
    <xf numFmtId="0" fontId="8" fillId="7" borderId="47" xfId="5" applyFont="1" applyBorder="1"/>
    <xf numFmtId="0" fontId="8" fillId="7" borderId="41" xfId="5" applyFont="1" applyBorder="1"/>
    <xf numFmtId="0" fontId="8" fillId="7" borderId="8" xfId="5" applyFont="1" applyBorder="1"/>
    <xf numFmtId="0" fontId="8" fillId="7" borderId="7" xfId="5" applyFont="1" applyBorder="1"/>
    <xf numFmtId="0" fontId="5" fillId="7" borderId="0" xfId="5" applyFont="1" applyBorder="1"/>
    <xf numFmtId="0" fontId="8" fillId="7" borderId="37" xfId="5" applyFont="1" applyBorder="1"/>
    <xf numFmtId="2" fontId="8" fillId="7" borderId="29" xfId="5" applyNumberFormat="1" applyFont="1" applyBorder="1"/>
    <xf numFmtId="2" fontId="8" fillId="7" borderId="31" xfId="5" applyNumberFormat="1" applyFont="1" applyBorder="1"/>
    <xf numFmtId="1" fontId="8" fillId="7" borderId="40" xfId="5" applyNumberFormat="1" applyFont="1" applyBorder="1"/>
    <xf numFmtId="0" fontId="8" fillId="7" borderId="22" xfId="5" applyFont="1" applyBorder="1"/>
    <xf numFmtId="2" fontId="8" fillId="7" borderId="22" xfId="5" applyNumberFormat="1" applyFont="1" applyBorder="1"/>
    <xf numFmtId="0" fontId="8" fillId="7" borderId="22" xfId="5" applyFont="1" applyBorder="1" applyAlignment="1">
      <alignment vertical="top"/>
    </xf>
    <xf numFmtId="0" fontId="8" fillId="7" borderId="28" xfId="5" applyFont="1" applyBorder="1" applyAlignment="1">
      <alignment horizontal="left"/>
    </xf>
    <xf numFmtId="4" fontId="8" fillId="7" borderId="57" xfId="5" applyNumberFormat="1" applyFont="1" applyBorder="1"/>
    <xf numFmtId="4" fontId="8" fillId="7" borderId="0" xfId="5" applyNumberFormat="1" applyFont="1"/>
    <xf numFmtId="4" fontId="8" fillId="7" borderId="31" xfId="5" applyNumberFormat="1" applyFont="1" applyBorder="1"/>
    <xf numFmtId="4" fontId="8" fillId="7" borderId="41" xfId="5" applyNumberFormat="1" applyFont="1" applyBorder="1"/>
    <xf numFmtId="0" fontId="8" fillId="7" borderId="27" xfId="5" applyFont="1" applyBorder="1"/>
    <xf numFmtId="0" fontId="8" fillId="7" borderId="1" xfId="5" applyFont="1" applyBorder="1"/>
    <xf numFmtId="0" fontId="0" fillId="0" borderId="22" xfId="0" applyBorder="1"/>
    <xf numFmtId="3" fontId="0" fillId="0" borderId="22" xfId="0" applyNumberFormat="1" applyBorder="1"/>
    <xf numFmtId="1" fontId="0" fillId="0" borderId="22" xfId="0" applyNumberFormat="1" applyBorder="1"/>
    <xf numFmtId="10" fontId="0" fillId="0" borderId="0" xfId="6" applyNumberFormat="1" applyFont="1"/>
    <xf numFmtId="170" fontId="0" fillId="0" borderId="0" xfId="0" applyNumberFormat="1"/>
    <xf numFmtId="0" fontId="0" fillId="0" borderId="28" xfId="0" applyBorder="1"/>
    <xf numFmtId="0" fontId="0" fillId="0" borderId="23" xfId="0" applyBorder="1"/>
    <xf numFmtId="0" fontId="0" fillId="0" borderId="34" xfId="0" applyBorder="1"/>
    <xf numFmtId="0" fontId="0" fillId="0" borderId="22" xfId="0" applyBorder="1" applyAlignment="1">
      <alignment horizontal="right"/>
    </xf>
    <xf numFmtId="0" fontId="0" fillId="0" borderId="34" xfId="0" applyBorder="1" applyAlignment="1">
      <alignment horizontal="right"/>
    </xf>
    <xf numFmtId="0" fontId="0" fillId="4" borderId="41" xfId="0" applyFont="1" applyFill="1" applyBorder="1"/>
    <xf numFmtId="3" fontId="0" fillId="4" borderId="41" xfId="0" applyNumberFormat="1" applyFont="1" applyFill="1" applyBorder="1"/>
    <xf numFmtId="169" fontId="0" fillId="4" borderId="41" xfId="0" applyNumberFormat="1" applyFont="1" applyFill="1" applyBorder="1"/>
    <xf numFmtId="3" fontId="0" fillId="0" borderId="41" xfId="0" applyNumberFormat="1" applyBorder="1"/>
    <xf numFmtId="3" fontId="0" fillId="0" borderId="58" xfId="0" applyNumberFormat="1" applyBorder="1"/>
    <xf numFmtId="0" fontId="0" fillId="5" borderId="0" xfId="0" applyFont="1" applyFill="1" applyBorder="1"/>
    <xf numFmtId="164" fontId="0" fillId="5" borderId="0" xfId="0" applyNumberFormat="1" applyFont="1" applyFill="1" applyBorder="1"/>
    <xf numFmtId="3" fontId="0" fillId="0" borderId="59" xfId="0" applyNumberFormat="1" applyBorder="1"/>
    <xf numFmtId="0" fontId="0" fillId="4" borderId="60" xfId="0" applyFont="1" applyFill="1" applyBorder="1"/>
    <xf numFmtId="4" fontId="0" fillId="4" borderId="60" xfId="0" applyNumberFormat="1" applyFont="1" applyFill="1" applyBorder="1"/>
    <xf numFmtId="3" fontId="0" fillId="4" borderId="36" xfId="0" applyNumberFormat="1" applyFont="1" applyFill="1" applyBorder="1"/>
    <xf numFmtId="164" fontId="0" fillId="5" borderId="32" xfId="0" applyNumberFormat="1" applyFont="1" applyFill="1" applyBorder="1"/>
    <xf numFmtId="4" fontId="0" fillId="4" borderId="61" xfId="0" applyNumberFormat="1" applyFont="1" applyFill="1" applyBorder="1"/>
    <xf numFmtId="3" fontId="0" fillId="4" borderId="21" xfId="0" applyNumberFormat="1" applyFont="1" applyFill="1" applyBorder="1"/>
    <xf numFmtId="164" fontId="0" fillId="5" borderId="1" xfId="0" applyNumberFormat="1" applyFont="1" applyFill="1" applyBorder="1"/>
    <xf numFmtId="4" fontId="0" fillId="4" borderId="62" xfId="0" applyNumberFormat="1" applyFont="1" applyFill="1" applyBorder="1"/>
    <xf numFmtId="0" fontId="5" fillId="7" borderId="41" xfId="5" applyBorder="1"/>
    <xf numFmtId="0" fontId="5" fillId="7" borderId="64" xfId="5" applyBorder="1"/>
    <xf numFmtId="0" fontId="5" fillId="7" borderId="65" xfId="5" applyBorder="1"/>
    <xf numFmtId="0" fontId="8" fillId="7" borderId="34" xfId="5" applyFont="1" applyBorder="1"/>
    <xf numFmtId="0" fontId="8" fillId="7" borderId="63" xfId="5" applyFont="1" applyBorder="1"/>
    <xf numFmtId="171" fontId="5" fillId="7" borderId="36" xfId="5" applyNumberFormat="1" applyBorder="1"/>
    <xf numFmtId="171" fontId="5" fillId="7" borderId="41" xfId="5" applyNumberFormat="1" applyBorder="1"/>
    <xf numFmtId="171" fontId="5" fillId="7" borderId="64" xfId="5" applyNumberFormat="1" applyBorder="1"/>
    <xf numFmtId="2" fontId="5" fillId="7" borderId="41" xfId="5" applyNumberFormat="1" applyBorder="1"/>
    <xf numFmtId="2" fontId="5" fillId="7" borderId="64" xfId="5" applyNumberFormat="1" applyBorder="1"/>
    <xf numFmtId="0" fontId="5" fillId="7" borderId="32" xfId="5" applyBorder="1"/>
    <xf numFmtId="2" fontId="5" fillId="7" borderId="32" xfId="5" applyNumberFormat="1" applyBorder="1"/>
    <xf numFmtId="0" fontId="5" fillId="7" borderId="7" xfId="5" applyBorder="1"/>
    <xf numFmtId="2" fontId="5" fillId="7" borderId="63" xfId="5" applyNumberFormat="1" applyBorder="1"/>
    <xf numFmtId="2" fontId="5" fillId="7" borderId="7" xfId="5" applyNumberFormat="1" applyBorder="1"/>
    <xf numFmtId="171" fontId="5" fillId="7" borderId="34" xfId="5" applyNumberFormat="1" applyBorder="1"/>
    <xf numFmtId="171" fontId="5" fillId="7" borderId="7" xfId="5" applyNumberFormat="1" applyBorder="1"/>
    <xf numFmtId="171" fontId="5" fillId="7" borderId="65" xfId="5" applyNumberFormat="1" applyBorder="1"/>
    <xf numFmtId="2" fontId="7" fillId="7" borderId="31" xfId="5" applyNumberFormat="1" applyFont="1" applyBorder="1"/>
    <xf numFmtId="2" fontId="5" fillId="7" borderId="28" xfId="5" applyNumberFormat="1" applyBorder="1"/>
    <xf numFmtId="2" fontId="5" fillId="7" borderId="66" xfId="5" applyNumberFormat="1" applyBorder="1"/>
    <xf numFmtId="2" fontId="5" fillId="7" borderId="67" xfId="5" applyNumberFormat="1" applyBorder="1"/>
    <xf numFmtId="2" fontId="8" fillId="7" borderId="66" xfId="5" applyNumberFormat="1" applyFont="1" applyBorder="1"/>
    <xf numFmtId="0" fontId="4" fillId="0" borderId="0" xfId="0" applyFont="1" applyAlignment="1">
      <alignment horizontal="left" vertical="top" wrapText="1"/>
    </xf>
    <xf numFmtId="0" fontId="4" fillId="0" borderId="0" xfId="0" applyFont="1" applyBorder="1" applyAlignment="1">
      <alignment horizontal="center"/>
    </xf>
    <xf numFmtId="0" fontId="4" fillId="0" borderId="0" xfId="0" applyFont="1" applyAlignment="1">
      <alignment horizontal="center"/>
    </xf>
    <xf numFmtId="0" fontId="3" fillId="0" borderId="0" xfId="0" applyFont="1" applyAlignment="1">
      <alignment horizontal="center"/>
    </xf>
    <xf numFmtId="0" fontId="3" fillId="0" borderId="0" xfId="0" applyFont="1" applyAlignment="1">
      <alignment horizontal="left"/>
    </xf>
    <xf numFmtId="0" fontId="14" fillId="0" borderId="22" xfId="0" applyFont="1" applyBorder="1" applyAlignment="1">
      <alignment horizontal="center"/>
    </xf>
    <xf numFmtId="0" fontId="0" fillId="0" borderId="28" xfId="0" applyBorder="1" applyAlignment="1">
      <alignment horizontal="center"/>
    </xf>
    <xf numFmtId="0" fontId="0" fillId="0" borderId="35" xfId="0" applyBorder="1" applyAlignment="1">
      <alignment horizontal="center"/>
    </xf>
    <xf numFmtId="0" fontId="0" fillId="0" borderId="8" xfId="0" applyBorder="1" applyAlignment="1">
      <alignment horizontal="center"/>
    </xf>
    <xf numFmtId="0" fontId="0" fillId="0" borderId="27" xfId="0" applyBorder="1" applyAlignment="1">
      <alignment horizontal="center"/>
    </xf>
    <xf numFmtId="0" fontId="8" fillId="7" borderId="22" xfId="5" applyFont="1" applyBorder="1" applyAlignment="1">
      <alignment horizontal="left"/>
    </xf>
    <xf numFmtId="0" fontId="8" fillId="7" borderId="22" xfId="5" applyFont="1" applyBorder="1" applyAlignment="1">
      <alignment horizontal="center" wrapText="1"/>
    </xf>
    <xf numFmtId="0" fontId="8" fillId="7" borderId="31" xfId="5" applyFont="1" applyBorder="1" applyAlignment="1">
      <alignment horizontal="center" wrapText="1"/>
    </xf>
    <xf numFmtId="0" fontId="8" fillId="7" borderId="22" xfId="5" applyFont="1" applyBorder="1" applyAlignment="1">
      <alignment horizontal="center"/>
    </xf>
    <xf numFmtId="0" fontId="8" fillId="7" borderId="27" xfId="5" applyFont="1" applyBorder="1" applyAlignment="1">
      <alignment horizontal="right" vertical="center" textRotation="90"/>
    </xf>
    <xf numFmtId="0" fontId="8" fillId="7" borderId="23" xfId="5" applyFont="1" applyBorder="1" applyAlignment="1">
      <alignment horizontal="right" vertical="center" textRotation="90"/>
    </xf>
    <xf numFmtId="0" fontId="8" fillId="7" borderId="21" xfId="5" applyFont="1" applyBorder="1" applyAlignment="1">
      <alignment horizontal="right" vertical="center" textRotation="90"/>
    </xf>
    <xf numFmtId="0" fontId="8" fillId="7" borderId="23" xfId="5" applyFont="1" applyBorder="1" applyAlignment="1">
      <alignment horizontal="center" vertical="center"/>
    </xf>
    <xf numFmtId="0" fontId="8" fillId="7" borderId="22" xfId="5" applyFont="1" applyBorder="1" applyAlignment="1">
      <alignment horizontal="center" vertical="center"/>
    </xf>
    <xf numFmtId="0" fontId="8" fillId="7" borderId="21" xfId="5" applyFont="1" applyBorder="1" applyAlignment="1">
      <alignment horizontal="center" vertical="center"/>
    </xf>
    <xf numFmtId="0" fontId="8" fillId="7" borderId="36" xfId="5" applyFont="1" applyBorder="1" applyAlignment="1">
      <alignment horizontal="center" vertical="center"/>
    </xf>
    <xf numFmtId="0" fontId="8" fillId="7" borderId="52" xfId="5" applyFont="1" applyBorder="1" applyAlignment="1">
      <alignment horizontal="center" vertical="center"/>
    </xf>
    <xf numFmtId="0" fontId="8" fillId="7" borderId="51" xfId="5" applyFont="1" applyBorder="1" applyAlignment="1">
      <alignment horizontal="center" vertical="center"/>
    </xf>
    <xf numFmtId="0" fontId="8" fillId="7" borderId="34" xfId="5" applyFont="1" applyBorder="1" applyAlignment="1">
      <alignment horizontal="center"/>
    </xf>
    <xf numFmtId="0" fontId="8" fillId="7" borderId="7" xfId="5" applyFont="1" applyBorder="1" applyAlignment="1">
      <alignment horizontal="center"/>
    </xf>
    <xf numFmtId="0" fontId="8" fillId="7" borderId="34" xfId="5" applyFont="1" applyBorder="1" applyAlignment="1">
      <alignment horizontal="center" vertical="center"/>
    </xf>
    <xf numFmtId="0" fontId="8" fillId="7" borderId="49" xfId="5" applyFont="1" applyBorder="1" applyAlignment="1">
      <alignment horizontal="center" vertical="center" wrapText="1"/>
    </xf>
    <xf numFmtId="0" fontId="8" fillId="7" borderId="50" xfId="5" applyFont="1" applyBorder="1" applyAlignment="1">
      <alignment horizontal="center" vertical="center" wrapText="1"/>
    </xf>
    <xf numFmtId="0" fontId="8" fillId="7" borderId="49" xfId="5" applyFont="1" applyBorder="1" applyAlignment="1">
      <alignment horizontal="center" vertical="center"/>
    </xf>
    <xf numFmtId="0" fontId="8" fillId="7" borderId="50" xfId="5" applyFont="1" applyBorder="1" applyAlignment="1">
      <alignment horizontal="center" vertical="center"/>
    </xf>
    <xf numFmtId="0" fontId="8" fillId="0" borderId="0" xfId="0" applyFont="1" applyBorder="1" applyAlignment="1">
      <alignment horizontal="right" vertical="center" textRotation="90"/>
    </xf>
    <xf numFmtId="0" fontId="8" fillId="7" borderId="23" xfId="5" applyFont="1" applyBorder="1" applyAlignment="1">
      <alignment horizontal="center"/>
    </xf>
    <xf numFmtId="0" fontId="0" fillId="0" borderId="0" xfId="0" applyAlignment="1">
      <alignment horizontal="left" vertical="top" wrapText="1"/>
    </xf>
    <xf numFmtId="0" fontId="8" fillId="7" borderId="30" xfId="5" applyFont="1" applyBorder="1" applyAlignment="1">
      <alignment horizontal="center" vertical="center"/>
    </xf>
    <xf numFmtId="0" fontId="8" fillId="7" borderId="53" xfId="5" applyFont="1" applyBorder="1" applyAlignment="1">
      <alignment horizontal="center" vertical="center"/>
    </xf>
    <xf numFmtId="0" fontId="8" fillId="7" borderId="24" xfId="5" applyFont="1" applyBorder="1" applyAlignment="1">
      <alignment horizontal="right" vertical="center" textRotation="90"/>
    </xf>
    <xf numFmtId="0" fontId="8" fillId="0" borderId="8" xfId="0" applyFont="1" applyBorder="1" applyAlignment="1">
      <alignment horizontal="center"/>
    </xf>
    <xf numFmtId="0" fontId="0" fillId="0" borderId="0" xfId="0" applyAlignment="1">
      <alignment horizontal="left"/>
    </xf>
    <xf numFmtId="0" fontId="0" fillId="0" borderId="0" xfId="0" applyFont="1" applyAlignment="1">
      <alignment horizontal="left" wrapText="1"/>
    </xf>
    <xf numFmtId="0" fontId="0" fillId="0" borderId="22" xfId="0" applyBorder="1" applyAlignment="1">
      <alignment horizontal="center"/>
    </xf>
  </cellXfs>
  <cellStyles count="7">
    <cellStyle name="20% - Accent6" xfId="5" builtinId="50"/>
    <cellStyle name="40% - Accent6" xfId="3" builtinId="51"/>
    <cellStyle name="Accent6" xfId="2" builtinId="49"/>
    <cellStyle name="Comma" xfId="1" builtinId="3"/>
    <cellStyle name="Normal" xfId="0" builtinId="0"/>
    <cellStyle name="Normal 3" xfId="4"/>
    <cellStyle name="Percent" xfId="6" builtinId="5"/>
  </cellStyles>
  <dxfs count="81">
    <dxf>
      <numFmt numFmtId="3" formatCode="#,##0"/>
    </dxf>
    <dxf>
      <numFmt numFmtId="3" formatCode="#,##0"/>
    </dxf>
    <dxf>
      <numFmt numFmtId="0" formatCode="General"/>
    </dxf>
    <dxf>
      <alignment horizontal="center" vertical="bottom" textRotation="0" wrapText="0"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4" formatCode="#,##0.00"/>
    </dxf>
    <dxf>
      <numFmt numFmtId="0" formatCode="General"/>
    </dxf>
    <dxf>
      <numFmt numFmtId="4" formatCode="#,##0.00"/>
    </dxf>
    <dxf>
      <numFmt numFmtId="0" formatCode="General"/>
    </dxf>
    <dxf>
      <numFmt numFmtId="4" formatCode="#,##0.00"/>
    </dxf>
    <dxf>
      <font>
        <b val="0"/>
        <i val="0"/>
        <strike val="0"/>
        <condense val="0"/>
        <extend val="0"/>
        <outline val="0"/>
        <shadow val="0"/>
        <u val="none"/>
        <vertAlign val="baseline"/>
        <sz val="11"/>
        <color theme="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1"/>
        <color theme="1"/>
        <name val="Arial"/>
        <scheme val="none"/>
      </font>
      <numFmt numFmtId="165" formatCode="#,##0.0000"/>
      <fill>
        <patternFill patternType="none">
          <fgColor indexed="64"/>
          <bgColor indexed="65"/>
        </patternFill>
      </fill>
    </dxf>
    <dxf>
      <fill>
        <patternFill patternType="none">
          <fgColor indexed="64"/>
          <bgColor indexed="65"/>
        </patternFill>
      </fill>
      <alignment horizontal="general" vertical="top" textRotation="0" wrapText="0" relativeIndent="0" justifyLastLine="0" shrinkToFit="0" readingOrder="0"/>
    </dxf>
    <dxf>
      <font>
        <b val="0"/>
        <i val="0"/>
        <strike val="0"/>
        <condense val="0"/>
        <extend val="0"/>
        <outline val="0"/>
        <shadow val="0"/>
        <u val="none"/>
        <vertAlign val="baseline"/>
        <sz val="11"/>
        <color theme="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1"/>
        <color theme="1"/>
        <name val="Arial"/>
        <scheme val="none"/>
      </font>
      <numFmt numFmtId="165" formatCode="#,##0.0000"/>
      <fill>
        <patternFill patternType="none">
          <fgColor indexed="64"/>
          <bgColor indexed="65"/>
        </patternFill>
      </fill>
    </dxf>
    <dxf>
      <fill>
        <patternFill patternType="none">
          <fgColor indexed="64"/>
          <bgColor indexed="65"/>
        </patternFill>
      </fill>
      <alignment horizontal="general" vertical="top" textRotation="0" wrapText="0" relative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textRotation="0" relative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1" relative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1"/>
        <color theme="1"/>
        <name val="Arial"/>
        <scheme val="none"/>
      </font>
      <numFmt numFmtId="165" formatCode="#,##0.0000"/>
      <fill>
        <patternFill patternType="none">
          <fgColor indexed="64"/>
          <bgColor indexed="65"/>
        </patternFill>
      </fill>
    </dxf>
    <dxf>
      <fill>
        <patternFill patternType="none">
          <fgColor indexed="64"/>
          <bgColor indexed="65"/>
        </patternFill>
      </fill>
      <alignment horizontal="general" vertical="top" textRotation="0" wrapText="0" relativeIndent="0" justifyLastLine="0" shrinkToFit="0" readingOrder="0"/>
    </dxf>
    <dxf>
      <fill>
        <patternFill patternType="none">
          <fgColor indexed="64"/>
          <bgColor auto="1"/>
        </patternFill>
      </fill>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1" relative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scheme val="none"/>
      </font>
      <numFmt numFmtId="4" formatCode="#,##0.00"/>
      <fill>
        <patternFill patternType="none">
          <fgColor indexed="64"/>
          <bgColor indexed="65"/>
        </patternFill>
      </fill>
    </dxf>
    <dxf>
      <font>
        <b val="0"/>
        <i val="0"/>
        <strike val="0"/>
        <condense val="0"/>
        <extend val="0"/>
        <outline val="0"/>
        <shadow val="0"/>
        <u val="none"/>
        <vertAlign val="baseline"/>
        <sz val="11"/>
        <color theme="1"/>
        <name val="Arial"/>
        <scheme val="none"/>
      </font>
      <numFmt numFmtId="165" formatCode="#,##0.0000"/>
      <fill>
        <patternFill patternType="none">
          <fgColor indexed="64"/>
          <bgColor indexed="65"/>
        </patternFill>
      </fill>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bottom" textRotation="0" wrapText="1" relativeIndent="0" justifyLastLine="0" shrinkToFit="0" readingOrder="0"/>
    </dxf>
    <dxf>
      <fill>
        <patternFill patternType="none">
          <fgColor indexed="64"/>
          <bgColor auto="1"/>
        </patternFill>
      </fill>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center" textRotation="0" wrapText="1" relativeIndent="0" justifyLastLine="0" shrinkToFit="0" readingOrder="0"/>
      <border diagonalUp="0" diagonalDown="0" outline="0">
        <left style="thin">
          <color indexed="64"/>
        </left>
        <right style="thin">
          <color indexed="64"/>
        </right>
        <top/>
        <bottom/>
      </border>
    </dxf>
    <dxf>
      <alignment vertical="center" textRotation="0" indent="0" justifyLastLine="0" shrinkToFit="0" readingOrder="0"/>
    </dxf>
    <dxf>
      <numFmt numFmtId="4" formatCode="#,##0.00"/>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font>
        <strike val="0"/>
        <outline val="0"/>
        <shadow val="0"/>
        <u val="none"/>
        <vertAlign val="baseline"/>
        <sz val="11"/>
        <color rgb="FFFF0000"/>
        <name val="Calibri"/>
        <scheme val="minor"/>
      </font>
    </dxf>
    <dxf>
      <numFmt numFmtId="4"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alignment horizontal="general" vertical="bottom"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alignment horizontal="general" vertical="bottom" textRotation="0" wrapText="1" indent="0" justifyLastLine="0" shrinkToFit="0" readingOrder="0"/>
    </dxf>
    <dxf>
      <numFmt numFmtId="3" formatCode="#,##0"/>
    </dxf>
    <dxf>
      <numFmt numFmtId="3" formatCode="#,##0"/>
    </dxf>
    <dxf>
      <numFmt numFmtId="3" formatCode="#,##0"/>
    </dxf>
    <dxf>
      <numFmt numFmtId="3" formatCode="#,##0"/>
    </dxf>
    <dxf>
      <numFmt numFmtId="3" formatCode="#,##0"/>
    </dxf>
    <dxf>
      <alignment horizontal="general" vertical="bottom" textRotation="0" wrapText="1" indent="0" justifyLastLine="0" shrinkToFit="0" readingOrder="0"/>
    </dxf>
    <dxf>
      <numFmt numFmtId="164" formatCode="#,##0.0"/>
    </dxf>
    <dxf>
      <numFmt numFmtId="0" formatCode="General"/>
    </dxf>
    <dxf>
      <numFmt numFmtId="3" formatCode="#,##0"/>
    </dxf>
    <dxf>
      <numFmt numFmtId="3" formatCode="#,##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n-US"/>
            </a:pPr>
            <a:r>
              <a:rPr lang="hr-HR"/>
              <a:t>Histogram</a:t>
            </a:r>
          </a:p>
        </c:rich>
      </c:tx>
      <c:overlay val="0"/>
    </c:title>
    <c:autoTitleDeleted val="0"/>
    <c:plotArea>
      <c:layout/>
      <c:barChart>
        <c:barDir val="col"/>
        <c:grouping val="clustered"/>
        <c:varyColors val="0"/>
        <c:ser>
          <c:idx val="0"/>
          <c:order val="0"/>
          <c:tx>
            <c:v>Frequency</c:v>
          </c:tx>
          <c:invertIfNegative val="0"/>
          <c:cat>
            <c:strRef>
              <c:f>Histogram!$A$53:$A$64</c:f>
              <c:strCache>
                <c:ptCount val="12"/>
                <c:pt idx="0">
                  <c:v>40340</c:v>
                </c:pt>
                <c:pt idx="1">
                  <c:v>42690</c:v>
                </c:pt>
                <c:pt idx="2">
                  <c:v>45040</c:v>
                </c:pt>
                <c:pt idx="3">
                  <c:v>47390</c:v>
                </c:pt>
                <c:pt idx="4">
                  <c:v>49740</c:v>
                </c:pt>
                <c:pt idx="5">
                  <c:v>52090</c:v>
                </c:pt>
                <c:pt idx="6">
                  <c:v>54440</c:v>
                </c:pt>
                <c:pt idx="7">
                  <c:v>56790</c:v>
                </c:pt>
                <c:pt idx="8">
                  <c:v>59140</c:v>
                </c:pt>
                <c:pt idx="9">
                  <c:v>61490</c:v>
                </c:pt>
                <c:pt idx="10">
                  <c:v>63840</c:v>
                </c:pt>
                <c:pt idx="11">
                  <c:v>More</c:v>
                </c:pt>
              </c:strCache>
            </c:strRef>
          </c:cat>
          <c:val>
            <c:numRef>
              <c:f>Histogram!$B$53:$B$64</c:f>
              <c:numCache>
                <c:formatCode>General</c:formatCode>
                <c:ptCount val="12"/>
                <c:pt idx="0">
                  <c:v>1</c:v>
                </c:pt>
                <c:pt idx="1">
                  <c:v>2</c:v>
                </c:pt>
                <c:pt idx="2">
                  <c:v>5</c:v>
                </c:pt>
                <c:pt idx="3">
                  <c:v>2</c:v>
                </c:pt>
                <c:pt idx="4">
                  <c:v>3</c:v>
                </c:pt>
                <c:pt idx="5">
                  <c:v>2</c:v>
                </c:pt>
                <c:pt idx="6">
                  <c:v>3</c:v>
                </c:pt>
                <c:pt idx="7">
                  <c:v>2</c:v>
                </c:pt>
                <c:pt idx="8">
                  <c:v>3</c:v>
                </c:pt>
                <c:pt idx="9">
                  <c:v>1</c:v>
                </c:pt>
                <c:pt idx="10">
                  <c:v>1</c:v>
                </c:pt>
                <c:pt idx="11">
                  <c:v>0</c:v>
                </c:pt>
              </c:numCache>
            </c:numRef>
          </c:val>
          <c:extLst>
            <c:ext xmlns:c16="http://schemas.microsoft.com/office/drawing/2014/chart" uri="{C3380CC4-5D6E-409C-BE32-E72D297353CC}">
              <c16:uniqueId val="{00000001-7A95-46AE-A614-5CC226D9F5FC}"/>
            </c:ext>
          </c:extLst>
        </c:ser>
        <c:dLbls>
          <c:showLegendKey val="0"/>
          <c:showVal val="0"/>
          <c:showCatName val="0"/>
          <c:showSerName val="0"/>
          <c:showPercent val="0"/>
          <c:showBubbleSize val="0"/>
        </c:dLbls>
        <c:gapWidth val="150"/>
        <c:axId val="151692032"/>
        <c:axId val="151693952"/>
      </c:barChart>
      <c:lineChart>
        <c:grouping val="standard"/>
        <c:varyColors val="0"/>
        <c:ser>
          <c:idx val="1"/>
          <c:order val="1"/>
          <c:tx>
            <c:v>Cumulative %</c:v>
          </c:tx>
          <c:cat>
            <c:strRef>
              <c:f>Histogram!$A$53:$A$64</c:f>
              <c:strCache>
                <c:ptCount val="12"/>
                <c:pt idx="0">
                  <c:v>40340</c:v>
                </c:pt>
                <c:pt idx="1">
                  <c:v>42690</c:v>
                </c:pt>
                <c:pt idx="2">
                  <c:v>45040</c:v>
                </c:pt>
                <c:pt idx="3">
                  <c:v>47390</c:v>
                </c:pt>
                <c:pt idx="4">
                  <c:v>49740</c:v>
                </c:pt>
                <c:pt idx="5">
                  <c:v>52090</c:v>
                </c:pt>
                <c:pt idx="6">
                  <c:v>54440</c:v>
                </c:pt>
                <c:pt idx="7">
                  <c:v>56790</c:v>
                </c:pt>
                <c:pt idx="8">
                  <c:v>59140</c:v>
                </c:pt>
                <c:pt idx="9">
                  <c:v>61490</c:v>
                </c:pt>
                <c:pt idx="10">
                  <c:v>63840</c:v>
                </c:pt>
                <c:pt idx="11">
                  <c:v>More</c:v>
                </c:pt>
              </c:strCache>
            </c:strRef>
          </c:cat>
          <c:val>
            <c:numRef>
              <c:f>Histogram!$C$53:$C$64</c:f>
              <c:numCache>
                <c:formatCode>0.00%</c:formatCode>
                <c:ptCount val="12"/>
                <c:pt idx="0">
                  <c:v>0.04</c:v>
                </c:pt>
                <c:pt idx="1">
                  <c:v>0.12</c:v>
                </c:pt>
                <c:pt idx="2">
                  <c:v>0.32</c:v>
                </c:pt>
                <c:pt idx="3">
                  <c:v>0.4</c:v>
                </c:pt>
                <c:pt idx="4">
                  <c:v>0.52</c:v>
                </c:pt>
                <c:pt idx="5">
                  <c:v>0.6</c:v>
                </c:pt>
                <c:pt idx="6">
                  <c:v>0.72</c:v>
                </c:pt>
                <c:pt idx="7">
                  <c:v>0.8</c:v>
                </c:pt>
                <c:pt idx="8">
                  <c:v>0.92</c:v>
                </c:pt>
                <c:pt idx="9">
                  <c:v>0.96</c:v>
                </c:pt>
                <c:pt idx="10">
                  <c:v>1</c:v>
                </c:pt>
                <c:pt idx="11">
                  <c:v>1</c:v>
                </c:pt>
              </c:numCache>
            </c:numRef>
          </c:val>
          <c:smooth val="0"/>
          <c:extLst>
            <c:ext xmlns:c16="http://schemas.microsoft.com/office/drawing/2014/chart" uri="{C3380CC4-5D6E-409C-BE32-E72D297353CC}">
              <c16:uniqueId val="{00000002-7A95-46AE-A614-5CC226D9F5FC}"/>
            </c:ext>
          </c:extLst>
        </c:ser>
        <c:dLbls>
          <c:showLegendKey val="0"/>
          <c:showVal val="0"/>
          <c:showCatName val="0"/>
          <c:showSerName val="0"/>
          <c:showPercent val="0"/>
          <c:showBubbleSize val="0"/>
        </c:dLbls>
        <c:marker val="1"/>
        <c:smooth val="0"/>
        <c:axId val="151705856"/>
        <c:axId val="151704320"/>
      </c:lineChart>
      <c:catAx>
        <c:axId val="151692032"/>
        <c:scaling>
          <c:orientation val="minMax"/>
        </c:scaling>
        <c:delete val="0"/>
        <c:axPos val="b"/>
        <c:title>
          <c:tx>
            <c:rich>
              <a:bodyPr/>
              <a:lstStyle/>
              <a:p>
                <a:pPr>
                  <a:defRPr lang="en-US"/>
                </a:pPr>
                <a:r>
                  <a:rPr lang="hr-HR"/>
                  <a:t>Bin</a:t>
                </a:r>
              </a:p>
            </c:rich>
          </c:tx>
          <c:overlay val="0"/>
        </c:title>
        <c:numFmt formatCode="General" sourceLinked="1"/>
        <c:majorTickMark val="out"/>
        <c:minorTickMark val="none"/>
        <c:tickLblPos val="nextTo"/>
        <c:txPr>
          <a:bodyPr/>
          <a:lstStyle/>
          <a:p>
            <a:pPr>
              <a:defRPr lang="en-US"/>
            </a:pPr>
            <a:endParaRPr lang="sr-Latn-RS"/>
          </a:p>
        </c:txPr>
        <c:crossAx val="151693952"/>
        <c:crosses val="autoZero"/>
        <c:auto val="1"/>
        <c:lblAlgn val="ctr"/>
        <c:lblOffset val="100"/>
        <c:noMultiLvlLbl val="0"/>
      </c:catAx>
      <c:valAx>
        <c:axId val="151693952"/>
        <c:scaling>
          <c:orientation val="minMax"/>
        </c:scaling>
        <c:delete val="0"/>
        <c:axPos val="l"/>
        <c:title>
          <c:tx>
            <c:rich>
              <a:bodyPr/>
              <a:lstStyle/>
              <a:p>
                <a:pPr>
                  <a:defRPr lang="en-US"/>
                </a:pPr>
                <a:r>
                  <a:rPr lang="hr-HR"/>
                  <a:t>Frequency</a:t>
                </a:r>
              </a:p>
            </c:rich>
          </c:tx>
          <c:overlay val="0"/>
        </c:title>
        <c:numFmt formatCode="General" sourceLinked="1"/>
        <c:majorTickMark val="out"/>
        <c:minorTickMark val="none"/>
        <c:tickLblPos val="nextTo"/>
        <c:txPr>
          <a:bodyPr/>
          <a:lstStyle/>
          <a:p>
            <a:pPr>
              <a:defRPr lang="en-US"/>
            </a:pPr>
            <a:endParaRPr lang="sr-Latn-RS"/>
          </a:p>
        </c:txPr>
        <c:crossAx val="151692032"/>
        <c:crosses val="autoZero"/>
        <c:crossBetween val="between"/>
      </c:valAx>
      <c:valAx>
        <c:axId val="151704320"/>
        <c:scaling>
          <c:orientation val="minMax"/>
        </c:scaling>
        <c:delete val="0"/>
        <c:axPos val="r"/>
        <c:numFmt formatCode="0.00%" sourceLinked="1"/>
        <c:majorTickMark val="out"/>
        <c:minorTickMark val="none"/>
        <c:tickLblPos val="nextTo"/>
        <c:txPr>
          <a:bodyPr/>
          <a:lstStyle/>
          <a:p>
            <a:pPr>
              <a:defRPr lang="en-US"/>
            </a:pPr>
            <a:endParaRPr lang="sr-Latn-RS"/>
          </a:p>
        </c:txPr>
        <c:crossAx val="151705856"/>
        <c:crosses val="max"/>
        <c:crossBetween val="between"/>
      </c:valAx>
      <c:catAx>
        <c:axId val="151705856"/>
        <c:scaling>
          <c:orientation val="minMax"/>
        </c:scaling>
        <c:delete val="1"/>
        <c:axPos val="b"/>
        <c:numFmt formatCode="General" sourceLinked="1"/>
        <c:majorTickMark val="out"/>
        <c:minorTickMark val="none"/>
        <c:tickLblPos val="nextTo"/>
        <c:crossAx val="151704320"/>
        <c:crosses val="autoZero"/>
        <c:auto val="1"/>
        <c:lblAlgn val="ctr"/>
        <c:lblOffset val="100"/>
        <c:noMultiLvlLbl val="0"/>
      </c:catAx>
    </c:plotArea>
    <c:legend>
      <c:legendPos val="r"/>
      <c:overlay val="0"/>
      <c:txPr>
        <a:bodyPr/>
        <a:lstStyle/>
        <a:p>
          <a:pPr>
            <a:defRPr lang="en-US"/>
          </a:pPr>
          <a:endParaRPr lang="sr-Latn-RS"/>
        </a:p>
      </c:txPr>
    </c:legend>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n-US" sz="1000" b="0" i="0"/>
            </a:pPr>
            <a:r>
              <a:rPr lang="hr-HR" sz="1000" b="0" i="0"/>
              <a:t>SensIt 1.53 Trial Version, Only For Evaluation, TreePlan.com</a:t>
            </a:r>
          </a:p>
        </c:rich>
      </c:tx>
      <c:layout/>
      <c:overlay val="0"/>
    </c:title>
    <c:autoTitleDeleted val="0"/>
    <c:plotArea>
      <c:layout/>
      <c:barChart>
        <c:barDir val="bar"/>
        <c:grouping val="clustered"/>
        <c:varyColors val="0"/>
        <c:ser>
          <c:idx val="0"/>
          <c:order val="0"/>
          <c:tx>
            <c:v>Bars on Left</c:v>
          </c:tx>
          <c:spPr>
            <a:solidFill>
              <a:srgbClr val="000000"/>
            </a:solidFill>
          </c:spPr>
          <c:invertIfNegative val="0"/>
          <c:dLbls>
            <c:dLbl>
              <c:idx val="0"/>
              <c:layout/>
              <c:tx>
                <c:strRef>
                  <c:f>'SensIt Tornado 3'!$B$11</c:f>
                  <c:strCache>
                    <c:ptCount val="1"/>
                    <c:pt idx="0">
                      <c:v>435.500</c:v>
                    </c:pt>
                  </c:strCache>
                </c:strRef>
              </c:tx>
              <c:showLegendKey val="0"/>
              <c:showVal val="1"/>
              <c:showCatName val="0"/>
              <c:showSerName val="0"/>
              <c:showPercent val="0"/>
              <c:showBubbleSize val="0"/>
              <c:extLst>
                <c:ext xmlns:c15="http://schemas.microsoft.com/office/drawing/2012/chart" uri="{CE6537A1-D6FC-4f65-9D91-7224C49458BB}">
                  <c15:layout/>
                  <c15:dlblFieldTable>
                    <c15:dlblFTEntry>
                      <c15:txfldGUID>{82B8494A-4957-4050-AD74-C287594876A4}</c15:txfldGUID>
                      <c15:f>'SensIt Tornado 3'!$B$11</c15:f>
                      <c15:dlblFieldTableCache>
                        <c:ptCount val="1"/>
                        <c:pt idx="0">
                          <c:v>435.500</c:v>
                        </c:pt>
                      </c15:dlblFieldTableCache>
                    </c15:dlblFTEntry>
                  </c15:dlblFieldTable>
                  <c15:showDataLabelsRange val="0"/>
                </c:ext>
                <c:ext xmlns:c16="http://schemas.microsoft.com/office/drawing/2014/chart" uri="{C3380CC4-5D6E-409C-BE32-E72D297353CC}">
                  <c16:uniqueId val="{00000002-E320-4069-A3C8-B1F80EEF7AE1}"/>
                </c:ext>
              </c:extLst>
            </c:dLbl>
            <c:dLbl>
              <c:idx val="1"/>
              <c:layout/>
              <c:tx>
                <c:strRef>
                  <c:f>'SensIt Tornado 3'!$B$12</c:f>
                  <c:strCache>
                    <c:ptCount val="1"/>
                    <c:pt idx="0">
                      <c:v>17,3</c:v>
                    </c:pt>
                  </c:strCache>
                </c:strRef>
              </c:tx>
              <c:showLegendKey val="0"/>
              <c:showVal val="1"/>
              <c:showCatName val="0"/>
              <c:showSerName val="0"/>
              <c:showPercent val="0"/>
              <c:showBubbleSize val="0"/>
              <c:extLst>
                <c:ext xmlns:c15="http://schemas.microsoft.com/office/drawing/2012/chart" uri="{CE6537A1-D6FC-4f65-9D91-7224C49458BB}">
                  <c15:layout/>
                  <c15:dlblFieldTable>
                    <c15:dlblFTEntry>
                      <c15:txfldGUID>{EF76BA04-5347-4F76-962D-87E50E44D1F5}</c15:txfldGUID>
                      <c15:f>'SensIt Tornado 3'!$B$12</c15:f>
                      <c15:dlblFieldTableCache>
                        <c:ptCount val="1"/>
                        <c:pt idx="0">
                          <c:v>17,3</c:v>
                        </c:pt>
                      </c15:dlblFieldTableCache>
                    </c15:dlblFTEntry>
                  </c15:dlblFieldTable>
                  <c15:showDataLabelsRange val="0"/>
                </c:ext>
                <c:ext xmlns:c16="http://schemas.microsoft.com/office/drawing/2014/chart" uri="{C3380CC4-5D6E-409C-BE32-E72D297353CC}">
                  <c16:uniqueId val="{00000004-E320-4069-A3C8-B1F80EEF7AE1}"/>
                </c:ext>
              </c:extLst>
            </c:dLbl>
            <c:dLbl>
              <c:idx val="2"/>
              <c:layout/>
              <c:tx>
                <c:strRef>
                  <c:f>'SensIt Tornado 3'!$B$13</c:f>
                  <c:strCache>
                    <c:ptCount val="1"/>
                    <c:pt idx="0">
                      <c:v>6,07</c:v>
                    </c:pt>
                  </c:strCache>
                </c:strRef>
              </c:tx>
              <c:showLegendKey val="0"/>
              <c:showVal val="1"/>
              <c:showCatName val="0"/>
              <c:showSerName val="0"/>
              <c:showPercent val="0"/>
              <c:showBubbleSize val="0"/>
              <c:extLst>
                <c:ext xmlns:c15="http://schemas.microsoft.com/office/drawing/2012/chart" uri="{CE6537A1-D6FC-4f65-9D91-7224C49458BB}">
                  <c15:layout/>
                  <c15:dlblFieldTable>
                    <c15:dlblFTEntry>
                      <c15:txfldGUID>{EEA17DD0-FF7A-4041-B8FD-4240F4527901}</c15:txfldGUID>
                      <c15:f>'SensIt Tornado 3'!$B$13</c15:f>
                      <c15:dlblFieldTableCache>
                        <c:ptCount val="1"/>
                        <c:pt idx="0">
                          <c:v>6,07</c:v>
                        </c:pt>
                      </c15:dlblFieldTableCache>
                    </c15:dlblFTEntry>
                  </c15:dlblFieldTable>
                  <c15:showDataLabelsRange val="0"/>
                </c:ext>
                <c:ext xmlns:c16="http://schemas.microsoft.com/office/drawing/2014/chart" uri="{C3380CC4-5D6E-409C-BE32-E72D297353CC}">
                  <c16:uniqueId val="{00000006-E320-4069-A3C8-B1F80EEF7AE1}"/>
                </c:ext>
              </c:extLst>
            </c:dLbl>
            <c:spPr>
              <a:noFill/>
              <a:ln>
                <a:noFill/>
              </a:ln>
              <a:effectLst/>
            </c:spPr>
            <c:txPr>
              <a:bodyPr wrap="square" lIns="38100" tIns="19050" rIns="38100" bIns="19050" anchor="ctr">
                <a:spAutoFit/>
              </a:bodyPr>
              <a:lstStyle/>
              <a:p>
                <a:pPr>
                  <a:defRPr lang="en-US" sz="800" b="0" i="0"/>
                </a:pPr>
                <a:endParaRPr lang="sr-Latn-R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'SensIt Tornado 3'!$A$11:$A$13</c:f>
              <c:strCache>
                <c:ptCount val="3"/>
                <c:pt idx="0">
                  <c:v>Fiksni troškovi</c:v>
                </c:pt>
                <c:pt idx="1">
                  <c:v>Prodajna cijena</c:v>
                </c:pt>
                <c:pt idx="2">
                  <c:v>Varijabilni tošak (prosječno)</c:v>
                </c:pt>
              </c:strCache>
            </c:strRef>
          </c:cat>
          <c:val>
            <c:numRef>
              <c:f>'SensIt Tornado 3'!$E$11:$E$13</c:f>
              <c:numCache>
                <c:formatCode>#,##0</c:formatCode>
                <c:ptCount val="3"/>
                <c:pt idx="0">
                  <c:v>42737.97841020608</c:v>
                </c:pt>
                <c:pt idx="1">
                  <c:v>54849.391955098217</c:v>
                </c:pt>
                <c:pt idx="2">
                  <c:v>54644.920782851812</c:v>
                </c:pt>
              </c:numCache>
            </c:numRef>
          </c:val>
          <c:extLst>
            <c:ext xmlns:c16="http://schemas.microsoft.com/office/drawing/2014/chart" uri="{C3380CC4-5D6E-409C-BE32-E72D297353CC}">
              <c16:uniqueId val="{00000000-E320-4069-A3C8-B1F80EEF7AE1}"/>
            </c:ext>
          </c:extLst>
        </c:ser>
        <c:ser>
          <c:idx val="1"/>
          <c:order val="1"/>
          <c:tx>
            <c:v>Bars on Right</c:v>
          </c:tx>
          <c:spPr>
            <a:solidFill>
              <a:srgbClr val="000000"/>
            </a:solidFill>
          </c:spPr>
          <c:invertIfNegative val="0"/>
          <c:dLbls>
            <c:dLbl>
              <c:idx val="0"/>
              <c:layout/>
              <c:tx>
                <c:strRef>
                  <c:f>'SensIt Tornado 3'!$D$11</c:f>
                  <c:strCache>
                    <c:ptCount val="1"/>
                    <c:pt idx="0">
                      <c:v>777.400</c:v>
                    </c:pt>
                  </c:strCache>
                </c:strRef>
              </c:tx>
              <c:showLegendKey val="0"/>
              <c:showVal val="1"/>
              <c:showCatName val="0"/>
              <c:showSerName val="0"/>
              <c:showPercent val="0"/>
              <c:showBubbleSize val="0"/>
              <c:extLst>
                <c:ext xmlns:c15="http://schemas.microsoft.com/office/drawing/2012/chart" uri="{CE6537A1-D6FC-4f65-9D91-7224C49458BB}">
                  <c15:layout/>
                  <c15:dlblFieldTable>
                    <c15:dlblFTEntry>
                      <c15:txfldGUID>{572830BF-1E20-49DF-9495-2214B6ACE0AB}</c15:txfldGUID>
                      <c15:f>'SensIt Tornado 3'!$D$11</c15:f>
                      <c15:dlblFieldTableCache>
                        <c:ptCount val="1"/>
                        <c:pt idx="0">
                          <c:v>777.400</c:v>
                        </c:pt>
                      </c15:dlblFieldTableCache>
                    </c15:dlblFTEntry>
                  </c15:dlblFieldTable>
                  <c15:showDataLabelsRange val="0"/>
                </c:ext>
                <c:ext xmlns:c16="http://schemas.microsoft.com/office/drawing/2014/chart" uri="{C3380CC4-5D6E-409C-BE32-E72D297353CC}">
                  <c16:uniqueId val="{00000003-E320-4069-A3C8-B1F80EEF7AE1}"/>
                </c:ext>
              </c:extLst>
            </c:dLbl>
            <c:dLbl>
              <c:idx val="1"/>
              <c:layout/>
              <c:tx>
                <c:strRef>
                  <c:f>'SensIt Tornado 3'!$D$12</c:f>
                  <c:strCache>
                    <c:ptCount val="1"/>
                    <c:pt idx="0">
                      <c:v>15,4</c:v>
                    </c:pt>
                  </c:strCache>
                </c:strRef>
              </c:tx>
              <c:showLegendKey val="0"/>
              <c:showVal val="1"/>
              <c:showCatName val="0"/>
              <c:showSerName val="0"/>
              <c:showPercent val="0"/>
              <c:showBubbleSize val="0"/>
              <c:extLst>
                <c:ext xmlns:c15="http://schemas.microsoft.com/office/drawing/2012/chart" uri="{CE6537A1-D6FC-4f65-9D91-7224C49458BB}">
                  <c15:layout/>
                  <c15:dlblFieldTable>
                    <c15:dlblFTEntry>
                      <c15:txfldGUID>{6A20E8FA-EE19-426A-9F12-A28783F20BA4}</c15:txfldGUID>
                      <c15:f>'SensIt Tornado 3'!$D$12</c15:f>
                      <c15:dlblFieldTableCache>
                        <c:ptCount val="1"/>
                        <c:pt idx="0">
                          <c:v>15,4</c:v>
                        </c:pt>
                      </c15:dlblFieldTableCache>
                    </c15:dlblFTEntry>
                  </c15:dlblFieldTable>
                  <c15:showDataLabelsRange val="0"/>
                </c:ext>
                <c:ext xmlns:c16="http://schemas.microsoft.com/office/drawing/2014/chart" uri="{C3380CC4-5D6E-409C-BE32-E72D297353CC}">
                  <c16:uniqueId val="{00000005-E320-4069-A3C8-B1F80EEF7AE1}"/>
                </c:ext>
              </c:extLst>
            </c:dLbl>
            <c:dLbl>
              <c:idx val="2"/>
              <c:layout/>
              <c:tx>
                <c:strRef>
                  <c:f>'SensIt Tornado 3'!$D$13</c:f>
                  <c:strCache>
                    <c:ptCount val="1"/>
                    <c:pt idx="0">
                      <c:v>6,81</c:v>
                    </c:pt>
                  </c:strCache>
                </c:strRef>
              </c:tx>
              <c:showLegendKey val="0"/>
              <c:showVal val="1"/>
              <c:showCatName val="0"/>
              <c:showSerName val="0"/>
              <c:showPercent val="0"/>
              <c:showBubbleSize val="0"/>
              <c:extLst>
                <c:ext xmlns:c15="http://schemas.microsoft.com/office/drawing/2012/chart" uri="{CE6537A1-D6FC-4f65-9D91-7224C49458BB}">
                  <c15:layout/>
                  <c15:dlblFieldTable>
                    <c15:dlblFTEntry>
                      <c15:txfldGUID>{360C7102-AC08-4C96-8402-981C41F1C82D}</c15:txfldGUID>
                      <c15:f>'SensIt Tornado 3'!$D$13</c15:f>
                      <c15:dlblFieldTableCache>
                        <c:ptCount val="1"/>
                        <c:pt idx="0">
                          <c:v>6,81</c:v>
                        </c:pt>
                      </c15:dlblFieldTableCache>
                    </c15:dlblFTEntry>
                  </c15:dlblFieldTable>
                  <c15:showDataLabelsRange val="0"/>
                </c:ext>
                <c:ext xmlns:c16="http://schemas.microsoft.com/office/drawing/2014/chart" uri="{C3380CC4-5D6E-409C-BE32-E72D297353CC}">
                  <c16:uniqueId val="{00000007-E320-4069-A3C8-B1F80EEF7AE1}"/>
                </c:ext>
              </c:extLst>
            </c:dLbl>
            <c:spPr>
              <a:noFill/>
              <a:ln>
                <a:noFill/>
              </a:ln>
              <a:effectLst/>
            </c:spPr>
            <c:txPr>
              <a:bodyPr wrap="square" lIns="38100" tIns="19050" rIns="38100" bIns="19050" anchor="ctr">
                <a:spAutoFit/>
              </a:bodyPr>
              <a:lstStyle/>
              <a:p>
                <a:pPr>
                  <a:defRPr lang="en-US" sz="800" b="0" i="0"/>
                </a:pPr>
                <a:endParaRPr lang="sr-Latn-R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'SensIt Tornado 3'!$A$11:$A$13</c:f>
              <c:strCache>
                <c:ptCount val="3"/>
                <c:pt idx="0">
                  <c:v>Fiksni troškovi</c:v>
                </c:pt>
                <c:pt idx="1">
                  <c:v>Prodajna cijena</c:v>
                </c:pt>
                <c:pt idx="2">
                  <c:v>Varijabilni tošak (prosječno)</c:v>
                </c:pt>
              </c:strCache>
            </c:strRef>
          </c:cat>
          <c:val>
            <c:numRef>
              <c:f>'SensIt Tornado 3'!$G$11:$G$13</c:f>
              <c:numCache>
                <c:formatCode>#,##0</c:formatCode>
                <c:ptCount val="3"/>
                <c:pt idx="0">
                  <c:v>76290.480863591743</c:v>
                </c:pt>
                <c:pt idx="1">
                  <c:v>66705.346985210475</c:v>
                </c:pt>
                <c:pt idx="2">
                  <c:v>58692.692692692683</c:v>
                </c:pt>
              </c:numCache>
            </c:numRef>
          </c:val>
          <c:extLst>
            <c:ext xmlns:c16="http://schemas.microsoft.com/office/drawing/2014/chart" uri="{C3380CC4-5D6E-409C-BE32-E72D297353CC}">
              <c16:uniqueId val="{00000001-E320-4069-A3C8-B1F80EEF7AE1}"/>
            </c:ext>
          </c:extLst>
        </c:ser>
        <c:dLbls>
          <c:showLegendKey val="0"/>
          <c:showVal val="0"/>
          <c:showCatName val="0"/>
          <c:showSerName val="0"/>
          <c:showPercent val="0"/>
          <c:showBubbleSize val="0"/>
        </c:dLbls>
        <c:gapWidth val="200"/>
        <c:overlap val="100"/>
        <c:axId val="152076288"/>
        <c:axId val="152077824"/>
      </c:barChart>
      <c:catAx>
        <c:axId val="152076288"/>
        <c:scaling>
          <c:orientation val="maxMin"/>
        </c:scaling>
        <c:delete val="0"/>
        <c:axPos val="l"/>
        <c:numFmt formatCode="General" sourceLinked="1"/>
        <c:majorTickMark val="none"/>
        <c:minorTickMark val="none"/>
        <c:tickLblPos val="low"/>
        <c:spPr>
          <a:ln w="12700">
            <a:solidFill>
              <a:srgbClr val="000000"/>
            </a:solidFill>
            <a:prstDash val="solid"/>
          </a:ln>
        </c:spPr>
        <c:txPr>
          <a:bodyPr/>
          <a:lstStyle/>
          <a:p>
            <a:pPr>
              <a:defRPr lang="en-US" sz="1000" b="0" i="0"/>
            </a:pPr>
            <a:endParaRPr lang="sr-Latn-RS"/>
          </a:p>
        </c:txPr>
        <c:crossAx val="152077824"/>
        <c:crossesAt val="57540.726202158992"/>
        <c:auto val="0"/>
        <c:lblAlgn val="ctr"/>
        <c:lblOffset val="100"/>
        <c:noMultiLvlLbl val="0"/>
      </c:catAx>
      <c:valAx>
        <c:axId val="152077824"/>
        <c:scaling>
          <c:orientation val="minMax"/>
          <c:max val="85000"/>
          <c:min val="35000"/>
        </c:scaling>
        <c:delete val="0"/>
        <c:axPos val="b"/>
        <c:title>
          <c:tx>
            <c:rich>
              <a:bodyPr/>
              <a:lstStyle/>
              <a:p>
                <a:pPr>
                  <a:defRPr lang="en-US" sz="1000" b="0" i="0"/>
                </a:pPr>
                <a:r>
                  <a:rPr lang="hr-HR" sz="1000" b="0" i="0"/>
                  <a:t>Točka pokrića</a:t>
                </a:r>
              </a:p>
            </c:rich>
          </c:tx>
          <c:layout/>
          <c:overlay val="0"/>
        </c:title>
        <c:numFmt formatCode="#,##0" sourceLinked="1"/>
        <c:majorTickMark val="out"/>
        <c:minorTickMark val="none"/>
        <c:tickLblPos val="nextTo"/>
        <c:spPr>
          <a:ln w="12700">
            <a:solidFill>
              <a:srgbClr val="000000"/>
            </a:solidFill>
            <a:prstDash val="solid"/>
          </a:ln>
        </c:spPr>
        <c:txPr>
          <a:bodyPr/>
          <a:lstStyle/>
          <a:p>
            <a:pPr>
              <a:defRPr lang="en-US" sz="800"/>
            </a:pPr>
            <a:endParaRPr lang="sr-Latn-RS"/>
          </a:p>
        </c:txPr>
        <c:crossAx val="152076288"/>
        <c:crosses val="max"/>
        <c:crossBetween val="between"/>
        <c:majorUnit val="5000"/>
      </c:valAx>
    </c:plotArea>
    <c:plotVisOnly val="1"/>
    <c:dispBlanksAs val="gap"/>
    <c:showDLblsOverMax val="0"/>
  </c:chart>
  <c:printSettings>
    <c:headerFooter/>
    <c:pageMargins b="0.75000000000000033" l="0.70000000000000029" r="0.70000000000000029" t="0.75000000000000033" header="0.30000000000000016" footer="0.30000000000000016"/>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lang="en-US" sz="1000"/>
            </a:pPr>
            <a:r>
              <a:rPr lang="hr-HR"/>
              <a:t>SensIt 1.53 Trial Version, Only For Evaluation, TreePlan.com</a:t>
            </a:r>
          </a:p>
        </c:rich>
      </c:tx>
      <c:layout/>
      <c:overlay val="0"/>
    </c:title>
    <c:autoTitleDeleted val="0"/>
    <c:plotArea>
      <c:layout/>
      <c:scatterChart>
        <c:scatterStyle val="lineMarker"/>
        <c:varyColors val="0"/>
        <c:ser>
          <c:idx val="0"/>
          <c:order val="0"/>
          <c:tx>
            <c:v>Fiksni troškovi</c:v>
          </c:tx>
          <c:dPt>
            <c:idx val="1"/>
            <c:marker>
              <c:symbol val="none"/>
            </c:marker>
            <c:bubble3D val="0"/>
            <c:extLst>
              <c:ext xmlns:c16="http://schemas.microsoft.com/office/drawing/2014/chart" uri="{C3380CC4-5D6E-409C-BE32-E72D297353CC}">
                <c16:uniqueId val="{00000003-77C3-4C31-BF98-A683107E15B3}"/>
              </c:ext>
            </c:extLst>
          </c:dPt>
          <c:dPt>
            <c:idx val="2"/>
            <c:marker>
              <c:symbol val="none"/>
            </c:marker>
            <c:bubble3D val="0"/>
            <c:extLst>
              <c:ext xmlns:c16="http://schemas.microsoft.com/office/drawing/2014/chart" uri="{C3380CC4-5D6E-409C-BE32-E72D297353CC}">
                <c16:uniqueId val="{00000004-77C3-4C31-BF98-A683107E15B3}"/>
              </c:ext>
            </c:extLst>
          </c:dPt>
          <c:dPt>
            <c:idx val="3"/>
            <c:marker>
              <c:symbol val="none"/>
            </c:marker>
            <c:bubble3D val="0"/>
            <c:extLst>
              <c:ext xmlns:c16="http://schemas.microsoft.com/office/drawing/2014/chart" uri="{C3380CC4-5D6E-409C-BE32-E72D297353CC}">
                <c16:uniqueId val="{00000005-77C3-4C31-BF98-A683107E15B3}"/>
              </c:ext>
            </c:extLst>
          </c:dPt>
          <c:dPt>
            <c:idx val="4"/>
            <c:marker>
              <c:symbol val="none"/>
            </c:marker>
            <c:bubble3D val="0"/>
            <c:extLst>
              <c:ext xmlns:c16="http://schemas.microsoft.com/office/drawing/2014/chart" uri="{C3380CC4-5D6E-409C-BE32-E72D297353CC}">
                <c16:uniqueId val="{00000006-77C3-4C31-BF98-A683107E15B3}"/>
              </c:ext>
            </c:extLst>
          </c:dPt>
          <c:dPt>
            <c:idx val="5"/>
            <c:marker>
              <c:symbol val="none"/>
            </c:marker>
            <c:bubble3D val="0"/>
            <c:extLst>
              <c:ext xmlns:c16="http://schemas.microsoft.com/office/drawing/2014/chart" uri="{C3380CC4-5D6E-409C-BE32-E72D297353CC}">
                <c16:uniqueId val="{00000007-77C3-4C31-BF98-A683107E15B3}"/>
              </c:ext>
            </c:extLst>
          </c:dPt>
          <c:dPt>
            <c:idx val="6"/>
            <c:marker>
              <c:symbol val="none"/>
            </c:marker>
            <c:bubble3D val="0"/>
            <c:extLst>
              <c:ext xmlns:c16="http://schemas.microsoft.com/office/drawing/2014/chart" uri="{C3380CC4-5D6E-409C-BE32-E72D297353CC}">
                <c16:uniqueId val="{00000008-77C3-4C31-BF98-A683107E15B3}"/>
              </c:ext>
            </c:extLst>
          </c:dPt>
          <c:xVal>
            <c:numRef>
              <c:f>'SensIt Spider 3'!$N$3:$N$10</c:f>
              <c:numCache>
                <c:formatCode>0.0%</c:formatCode>
                <c:ptCount val="8"/>
                <c:pt idx="0">
                  <c:v>0.74274311832725037</c:v>
                </c:pt>
                <c:pt idx="1">
                  <c:v>0.8</c:v>
                </c:pt>
                <c:pt idx="2">
                  <c:v>0.9</c:v>
                </c:pt>
                <c:pt idx="3">
                  <c:v>1</c:v>
                </c:pt>
                <c:pt idx="4">
                  <c:v>1.1000000000000001</c:v>
                </c:pt>
                <c:pt idx="5">
                  <c:v>1.2000000000000002</c:v>
                </c:pt>
                <c:pt idx="6">
                  <c:v>1.3000000000000003</c:v>
                </c:pt>
                <c:pt idx="7">
                  <c:v>1.3258518948050619</c:v>
                </c:pt>
              </c:numCache>
            </c:numRef>
          </c:xVal>
          <c:yVal>
            <c:numRef>
              <c:f>'SensIt Spider 3'!$O$3:$O$10</c:f>
              <c:numCache>
                <c:formatCode>#,##0</c:formatCode>
                <c:ptCount val="8"/>
                <c:pt idx="0">
                  <c:v>42737.97841020608</c:v>
                </c:pt>
                <c:pt idx="1">
                  <c:v>46032.580961727181</c:v>
                </c:pt>
                <c:pt idx="2">
                  <c:v>51786.653581943072</c:v>
                </c:pt>
                <c:pt idx="3">
                  <c:v>57540.72620215897</c:v>
                </c:pt>
                <c:pt idx="4">
                  <c:v>63294.798822374869</c:v>
                </c:pt>
                <c:pt idx="5">
                  <c:v>69048.871442590782</c:v>
                </c:pt>
                <c:pt idx="6">
                  <c:v>74802.94406280668</c:v>
                </c:pt>
                <c:pt idx="7">
                  <c:v>76290.480863591743</c:v>
                </c:pt>
              </c:numCache>
            </c:numRef>
          </c:yVal>
          <c:smooth val="0"/>
          <c:extLst>
            <c:ext xmlns:c16="http://schemas.microsoft.com/office/drawing/2014/chart" uri="{C3380CC4-5D6E-409C-BE32-E72D297353CC}">
              <c16:uniqueId val="{00000000-77C3-4C31-BF98-A683107E15B3}"/>
            </c:ext>
          </c:extLst>
        </c:ser>
        <c:ser>
          <c:idx val="1"/>
          <c:order val="1"/>
          <c:tx>
            <c:v>Prodajna cijena</c:v>
          </c:tx>
          <c:dPt>
            <c:idx val="1"/>
            <c:marker>
              <c:symbol val="none"/>
            </c:marker>
            <c:bubble3D val="0"/>
            <c:extLst>
              <c:ext xmlns:c16="http://schemas.microsoft.com/office/drawing/2014/chart" uri="{C3380CC4-5D6E-409C-BE32-E72D297353CC}">
                <c16:uniqueId val="{00000009-77C3-4C31-BF98-A683107E15B3}"/>
              </c:ext>
            </c:extLst>
          </c:dPt>
          <c:xVal>
            <c:numRef>
              <c:f>'SensIt Spider 3'!$R$3:$R$5</c:f>
              <c:numCache>
                <c:formatCode>0.0%</c:formatCode>
                <c:ptCount val="3"/>
                <c:pt idx="0">
                  <c:v>0.91666666666666663</c:v>
                </c:pt>
                <c:pt idx="1">
                  <c:v>1</c:v>
                </c:pt>
                <c:pt idx="2">
                  <c:v>1.0297619047619047</c:v>
                </c:pt>
              </c:numCache>
            </c:numRef>
          </c:xVal>
          <c:yVal>
            <c:numRef>
              <c:f>'SensIt Spider 3'!$S$3:$S$5</c:f>
              <c:numCache>
                <c:formatCode>#,##0</c:formatCode>
                <c:ptCount val="3"/>
                <c:pt idx="0">
                  <c:v>66705.346985210475</c:v>
                </c:pt>
                <c:pt idx="1">
                  <c:v>57540.72620215897</c:v>
                </c:pt>
                <c:pt idx="2">
                  <c:v>54849.391955098217</c:v>
                </c:pt>
              </c:numCache>
            </c:numRef>
          </c:yVal>
          <c:smooth val="0"/>
          <c:extLst>
            <c:ext xmlns:c16="http://schemas.microsoft.com/office/drawing/2014/chart" uri="{C3380CC4-5D6E-409C-BE32-E72D297353CC}">
              <c16:uniqueId val="{00000001-77C3-4C31-BF98-A683107E15B3}"/>
            </c:ext>
          </c:extLst>
        </c:ser>
        <c:ser>
          <c:idx val="2"/>
          <c:order val="2"/>
          <c:tx>
            <c:v>Varijabilni tošak (prosječno)</c:v>
          </c:tx>
          <c:dPt>
            <c:idx val="1"/>
            <c:marker>
              <c:symbol val="none"/>
            </c:marker>
            <c:bubble3D val="0"/>
            <c:extLst>
              <c:ext xmlns:c16="http://schemas.microsoft.com/office/drawing/2014/chart" uri="{C3380CC4-5D6E-409C-BE32-E72D297353CC}">
                <c16:uniqueId val="{0000000A-77C3-4C31-BF98-A683107E15B3}"/>
              </c:ext>
            </c:extLst>
          </c:dPt>
          <c:xVal>
            <c:numRef>
              <c:f>'SensIt Spider 3'!$V$3:$V$5</c:f>
              <c:numCache>
                <c:formatCode>0.0%</c:formatCode>
                <c:ptCount val="3"/>
                <c:pt idx="0">
                  <c:v>0.91830559757942509</c:v>
                </c:pt>
                <c:pt idx="1">
                  <c:v>1</c:v>
                </c:pt>
                <c:pt idx="2">
                  <c:v>1.0302571860816943</c:v>
                </c:pt>
              </c:numCache>
            </c:numRef>
          </c:xVal>
          <c:yVal>
            <c:numRef>
              <c:f>'SensIt Spider 3'!$W$3:$W$5</c:f>
              <c:numCache>
                <c:formatCode>#,##0</c:formatCode>
                <c:ptCount val="3"/>
                <c:pt idx="0">
                  <c:v>54644.920782851812</c:v>
                </c:pt>
                <c:pt idx="1">
                  <c:v>57540.72620215897</c:v>
                </c:pt>
                <c:pt idx="2">
                  <c:v>58692.692692692683</c:v>
                </c:pt>
              </c:numCache>
            </c:numRef>
          </c:yVal>
          <c:smooth val="0"/>
          <c:extLst>
            <c:ext xmlns:c16="http://schemas.microsoft.com/office/drawing/2014/chart" uri="{C3380CC4-5D6E-409C-BE32-E72D297353CC}">
              <c16:uniqueId val="{00000002-77C3-4C31-BF98-A683107E15B3}"/>
            </c:ext>
          </c:extLst>
        </c:ser>
        <c:dLbls>
          <c:showLegendKey val="0"/>
          <c:showVal val="0"/>
          <c:showCatName val="0"/>
          <c:showSerName val="0"/>
          <c:showPercent val="0"/>
          <c:showBubbleSize val="0"/>
        </c:dLbls>
        <c:axId val="152128512"/>
        <c:axId val="152134784"/>
      </c:scatterChart>
      <c:valAx>
        <c:axId val="152128512"/>
        <c:scaling>
          <c:orientation val="minMax"/>
          <c:max val="1.5000000000000002"/>
          <c:min val="0.60000000000000042"/>
        </c:scaling>
        <c:delete val="0"/>
        <c:axPos val="b"/>
        <c:title>
          <c:tx>
            <c:rich>
              <a:bodyPr/>
              <a:lstStyle/>
              <a:p>
                <a:pPr>
                  <a:defRPr lang="en-US" sz="1000"/>
                </a:pPr>
                <a:r>
                  <a:rPr lang="hr-HR"/>
                  <a:t>Input Value as % of Base Case</a:t>
                </a:r>
              </a:p>
            </c:rich>
          </c:tx>
          <c:layout/>
          <c:overlay val="0"/>
        </c:title>
        <c:numFmt formatCode="0.0%" sourceLinked="1"/>
        <c:majorTickMark val="out"/>
        <c:minorTickMark val="none"/>
        <c:tickLblPos val="nextTo"/>
        <c:spPr>
          <a:ln w="12700">
            <a:solidFill>
              <a:srgbClr val="000000"/>
            </a:solidFill>
            <a:prstDash val="solid"/>
          </a:ln>
        </c:spPr>
        <c:txPr>
          <a:bodyPr/>
          <a:lstStyle/>
          <a:p>
            <a:pPr>
              <a:defRPr lang="en-US"/>
            </a:pPr>
            <a:endParaRPr lang="sr-Latn-RS"/>
          </a:p>
        </c:txPr>
        <c:crossAx val="152134784"/>
        <c:crossesAt val="35000"/>
        <c:crossBetween val="midCat"/>
        <c:majorUnit val="0.1"/>
      </c:valAx>
      <c:valAx>
        <c:axId val="152134784"/>
        <c:scaling>
          <c:orientation val="minMax"/>
          <c:max val="85000"/>
          <c:min val="35000"/>
        </c:scaling>
        <c:delete val="0"/>
        <c:axPos val="l"/>
        <c:title>
          <c:tx>
            <c:rich>
              <a:bodyPr/>
              <a:lstStyle/>
              <a:p>
                <a:pPr>
                  <a:defRPr lang="en-US" sz="1000"/>
                </a:pPr>
                <a:r>
                  <a:rPr lang="hr-HR"/>
                  <a:t>Točka pokrića</a:t>
                </a:r>
              </a:p>
            </c:rich>
          </c:tx>
          <c:layout/>
          <c:overlay val="0"/>
        </c:title>
        <c:numFmt formatCode="#,##0" sourceLinked="1"/>
        <c:majorTickMark val="out"/>
        <c:minorTickMark val="none"/>
        <c:tickLblPos val="nextTo"/>
        <c:spPr>
          <a:ln w="12700">
            <a:solidFill>
              <a:srgbClr val="000000"/>
            </a:solidFill>
            <a:prstDash val="solid"/>
          </a:ln>
        </c:spPr>
        <c:txPr>
          <a:bodyPr/>
          <a:lstStyle/>
          <a:p>
            <a:pPr>
              <a:defRPr lang="en-US"/>
            </a:pPr>
            <a:endParaRPr lang="sr-Latn-RS"/>
          </a:p>
        </c:txPr>
        <c:crossAx val="152128512"/>
        <c:crossesAt val="0.60000000000000042"/>
        <c:crossBetween val="midCat"/>
        <c:majorUnit val="5000"/>
      </c:valAx>
      <c:spPr>
        <a:noFill/>
        <a:ln w="25400">
          <a:noFill/>
        </a:ln>
      </c:spPr>
    </c:plotArea>
    <c:legend>
      <c:legendPos val="r"/>
      <c:layout/>
      <c:overlay val="0"/>
      <c:txPr>
        <a:bodyPr/>
        <a:lstStyle/>
        <a:p>
          <a:pPr>
            <a:defRPr lang="en-US"/>
          </a:pPr>
          <a:endParaRPr lang="sr-Latn-RS"/>
        </a:p>
      </c:txPr>
    </c:legend>
    <c:plotVisOnly val="1"/>
    <c:dispBlanksAs val="gap"/>
    <c:showDLblsOverMax val="0"/>
  </c:chart>
  <c:txPr>
    <a:bodyPr/>
    <a:lstStyle/>
    <a:p>
      <a:pPr>
        <a:defRPr sz="800" b="0"/>
      </a:pPr>
      <a:endParaRPr lang="sr-Latn-RS"/>
    </a:p>
  </c:txPr>
  <c:printSettings>
    <c:headerFooter/>
    <c:pageMargins b="0.75000000000000033" l="0.70000000000000029" r="0.70000000000000029" t="0.75000000000000033" header="0.30000000000000016" footer="0.30000000000000016"/>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8571741032370985E-2"/>
          <c:y val="7.4548702245552642E-2"/>
          <c:w val="0.58985892388451444"/>
          <c:h val="0.79822506561679785"/>
        </c:manualLayout>
      </c:layout>
      <c:scatterChart>
        <c:scatterStyle val="lineMarker"/>
        <c:varyColors val="0"/>
        <c:ser>
          <c:idx val="0"/>
          <c:order val="0"/>
          <c:trendline>
            <c:trendlineType val="linear"/>
            <c:dispRSqr val="1"/>
            <c:dispEq val="1"/>
            <c:trendlineLbl>
              <c:layout>
                <c:manualLayout>
                  <c:x val="0.37056889763779544"/>
                  <c:y val="5.834135316418778E-2"/>
                </c:manualLayout>
              </c:layout>
              <c:numFmt formatCode="General" sourceLinked="0"/>
            </c:trendlineLbl>
          </c:trendline>
          <c:xVal>
            <c:numRef>
              <c:f>'Linearni trend'!$B$3:$B$7</c:f>
              <c:numCache>
                <c:formatCode>General</c:formatCode>
                <c:ptCount val="5"/>
                <c:pt idx="0">
                  <c:v>0</c:v>
                </c:pt>
                <c:pt idx="1">
                  <c:v>1</c:v>
                </c:pt>
                <c:pt idx="2">
                  <c:v>2</c:v>
                </c:pt>
                <c:pt idx="3">
                  <c:v>3</c:v>
                </c:pt>
                <c:pt idx="4">
                  <c:v>4</c:v>
                </c:pt>
              </c:numCache>
            </c:numRef>
          </c:xVal>
          <c:yVal>
            <c:numRef>
              <c:f>'Linearni trend'!$C$3:$C$7</c:f>
              <c:numCache>
                <c:formatCode>General</c:formatCode>
                <c:ptCount val="5"/>
                <c:pt idx="0">
                  <c:v>112</c:v>
                </c:pt>
                <c:pt idx="1">
                  <c:v>126</c:v>
                </c:pt>
                <c:pt idx="2">
                  <c:v>154</c:v>
                </c:pt>
                <c:pt idx="3">
                  <c:v>194</c:v>
                </c:pt>
                <c:pt idx="4">
                  <c:v>167</c:v>
                </c:pt>
              </c:numCache>
            </c:numRef>
          </c:yVal>
          <c:smooth val="0"/>
          <c:extLst>
            <c:ext xmlns:c16="http://schemas.microsoft.com/office/drawing/2014/chart" uri="{C3380CC4-5D6E-409C-BE32-E72D297353CC}">
              <c16:uniqueId val="{00000000-4318-4D02-81B6-A459CA7190C5}"/>
            </c:ext>
          </c:extLst>
        </c:ser>
        <c:dLbls>
          <c:showLegendKey val="0"/>
          <c:showVal val="0"/>
          <c:showCatName val="0"/>
          <c:showSerName val="0"/>
          <c:showPercent val="0"/>
          <c:showBubbleSize val="0"/>
        </c:dLbls>
        <c:axId val="152200320"/>
        <c:axId val="152201856"/>
      </c:scatterChart>
      <c:valAx>
        <c:axId val="152200320"/>
        <c:scaling>
          <c:orientation val="minMax"/>
        </c:scaling>
        <c:delete val="0"/>
        <c:axPos val="b"/>
        <c:numFmt formatCode="General" sourceLinked="1"/>
        <c:majorTickMark val="out"/>
        <c:minorTickMark val="none"/>
        <c:tickLblPos val="nextTo"/>
        <c:crossAx val="152201856"/>
        <c:crosses val="autoZero"/>
        <c:crossBetween val="midCat"/>
      </c:valAx>
      <c:valAx>
        <c:axId val="152201856"/>
        <c:scaling>
          <c:orientation val="minMax"/>
        </c:scaling>
        <c:delete val="0"/>
        <c:axPos val="l"/>
        <c:majorGridlines/>
        <c:numFmt formatCode="General" sourceLinked="1"/>
        <c:majorTickMark val="out"/>
        <c:minorTickMark val="none"/>
        <c:tickLblPos val="nextTo"/>
        <c:crossAx val="152200320"/>
        <c:crosses val="autoZero"/>
        <c:crossBetween val="midCat"/>
      </c:valAx>
    </c:plotArea>
    <c:legend>
      <c:legendPos val="r"/>
      <c:layout/>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468285214348209E-2"/>
          <c:y val="7.4548702245552642E-2"/>
          <c:w val="0.68242825896762893"/>
          <c:h val="0.79822506561679785"/>
        </c:manualLayout>
      </c:layout>
      <c:scatterChart>
        <c:scatterStyle val="lineMarker"/>
        <c:varyColors val="0"/>
        <c:ser>
          <c:idx val="0"/>
          <c:order val="0"/>
          <c:trendline>
            <c:trendlineType val="exp"/>
            <c:dispRSqr val="1"/>
            <c:dispEq val="1"/>
            <c:trendlineLbl>
              <c:layout>
                <c:manualLayout>
                  <c:x val="0.34496104986876641"/>
                  <c:y val="5.3322032662583847E-2"/>
                </c:manualLayout>
              </c:layout>
              <c:numFmt formatCode="General" sourceLinked="0"/>
            </c:trendlineLbl>
          </c:trendline>
          <c:xVal>
            <c:numRef>
              <c:f>'Linearni trend'!$B$27:$B$31</c:f>
              <c:numCache>
                <c:formatCode>General</c:formatCode>
                <c:ptCount val="5"/>
                <c:pt idx="0">
                  <c:v>0</c:v>
                </c:pt>
                <c:pt idx="1">
                  <c:v>1</c:v>
                </c:pt>
                <c:pt idx="2">
                  <c:v>2</c:v>
                </c:pt>
                <c:pt idx="3">
                  <c:v>3</c:v>
                </c:pt>
                <c:pt idx="4">
                  <c:v>4</c:v>
                </c:pt>
              </c:numCache>
            </c:numRef>
          </c:xVal>
          <c:yVal>
            <c:numRef>
              <c:f>'Linearni trend'!$C$27:$C$31</c:f>
              <c:numCache>
                <c:formatCode>General</c:formatCode>
                <c:ptCount val="5"/>
                <c:pt idx="0">
                  <c:v>112</c:v>
                </c:pt>
                <c:pt idx="1">
                  <c:v>126</c:v>
                </c:pt>
                <c:pt idx="2">
                  <c:v>154</c:v>
                </c:pt>
                <c:pt idx="3">
                  <c:v>194</c:v>
                </c:pt>
                <c:pt idx="4">
                  <c:v>167</c:v>
                </c:pt>
              </c:numCache>
            </c:numRef>
          </c:yVal>
          <c:smooth val="0"/>
          <c:extLst>
            <c:ext xmlns:c16="http://schemas.microsoft.com/office/drawing/2014/chart" uri="{C3380CC4-5D6E-409C-BE32-E72D297353CC}">
              <c16:uniqueId val="{00000000-07ED-46E2-80FB-127B899E76AC}"/>
            </c:ext>
          </c:extLst>
        </c:ser>
        <c:dLbls>
          <c:showLegendKey val="0"/>
          <c:showVal val="0"/>
          <c:showCatName val="0"/>
          <c:showSerName val="0"/>
          <c:showPercent val="0"/>
          <c:showBubbleSize val="0"/>
        </c:dLbls>
        <c:axId val="152222336"/>
        <c:axId val="152240512"/>
      </c:scatterChart>
      <c:valAx>
        <c:axId val="152222336"/>
        <c:scaling>
          <c:orientation val="minMax"/>
        </c:scaling>
        <c:delete val="0"/>
        <c:axPos val="b"/>
        <c:numFmt formatCode="General" sourceLinked="1"/>
        <c:majorTickMark val="out"/>
        <c:minorTickMark val="none"/>
        <c:tickLblPos val="nextTo"/>
        <c:crossAx val="152240512"/>
        <c:crosses val="autoZero"/>
        <c:crossBetween val="midCat"/>
      </c:valAx>
      <c:valAx>
        <c:axId val="152240512"/>
        <c:scaling>
          <c:orientation val="minMax"/>
        </c:scaling>
        <c:delete val="0"/>
        <c:axPos val="l"/>
        <c:majorGridlines/>
        <c:numFmt formatCode="General" sourceLinked="1"/>
        <c:majorTickMark val="out"/>
        <c:minorTickMark val="none"/>
        <c:tickLblPos val="nextTo"/>
        <c:crossAx val="152222336"/>
        <c:crosses val="autoZero"/>
        <c:crossBetween val="midCat"/>
      </c:valAx>
    </c:plotArea>
    <c:legend>
      <c:legendPos val="r"/>
      <c:overlay val="0"/>
    </c:legend>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rendline>
            <c:trendlineType val="exp"/>
            <c:dispRSqr val="1"/>
            <c:dispEq val="1"/>
            <c:trendlineLbl>
              <c:layout>
                <c:manualLayout>
                  <c:x val="0.36171347331583575"/>
                  <c:y val="8.5729440069991267E-2"/>
                </c:manualLayout>
              </c:layout>
              <c:numFmt formatCode="General" sourceLinked="0"/>
            </c:trendlineLbl>
          </c:trendline>
          <c:xVal>
            <c:numRef>
              <c:f>'Eksponencijalni trend'!$B$3:$F$3</c:f>
              <c:numCache>
                <c:formatCode>0</c:formatCode>
                <c:ptCount val="5"/>
                <c:pt idx="0">
                  <c:v>2014</c:v>
                </c:pt>
                <c:pt idx="1">
                  <c:v>2015</c:v>
                </c:pt>
                <c:pt idx="2">
                  <c:v>2016</c:v>
                </c:pt>
                <c:pt idx="3">
                  <c:v>2017</c:v>
                </c:pt>
                <c:pt idx="4">
                  <c:v>2018</c:v>
                </c:pt>
              </c:numCache>
            </c:numRef>
          </c:xVal>
          <c:yVal>
            <c:numRef>
              <c:f>'Eksponencijalni trend'!$B$4:$F$4</c:f>
              <c:numCache>
                <c:formatCode>#,##0</c:formatCode>
                <c:ptCount val="5"/>
                <c:pt idx="0">
                  <c:v>112</c:v>
                </c:pt>
                <c:pt idx="1">
                  <c:v>126</c:v>
                </c:pt>
                <c:pt idx="2">
                  <c:v>154</c:v>
                </c:pt>
                <c:pt idx="3">
                  <c:v>194</c:v>
                </c:pt>
                <c:pt idx="4">
                  <c:v>167</c:v>
                </c:pt>
              </c:numCache>
            </c:numRef>
          </c:yVal>
          <c:smooth val="0"/>
          <c:extLst>
            <c:ext xmlns:c16="http://schemas.microsoft.com/office/drawing/2014/chart" uri="{C3380CC4-5D6E-409C-BE32-E72D297353CC}">
              <c16:uniqueId val="{00000000-2364-47DD-BAE0-2365DD677801}"/>
            </c:ext>
          </c:extLst>
        </c:ser>
        <c:dLbls>
          <c:showLegendKey val="0"/>
          <c:showVal val="0"/>
          <c:showCatName val="0"/>
          <c:showSerName val="0"/>
          <c:showPercent val="0"/>
          <c:showBubbleSize val="0"/>
        </c:dLbls>
        <c:axId val="152261376"/>
        <c:axId val="152262912"/>
      </c:scatterChart>
      <c:valAx>
        <c:axId val="152261376"/>
        <c:scaling>
          <c:orientation val="minMax"/>
        </c:scaling>
        <c:delete val="0"/>
        <c:axPos val="b"/>
        <c:numFmt formatCode="0" sourceLinked="1"/>
        <c:majorTickMark val="out"/>
        <c:minorTickMark val="none"/>
        <c:tickLblPos val="nextTo"/>
        <c:crossAx val="152262912"/>
        <c:crosses val="autoZero"/>
        <c:crossBetween val="midCat"/>
      </c:valAx>
      <c:valAx>
        <c:axId val="152262912"/>
        <c:scaling>
          <c:orientation val="minMax"/>
        </c:scaling>
        <c:delete val="0"/>
        <c:axPos val="l"/>
        <c:majorGridlines/>
        <c:numFmt formatCode="#,##0" sourceLinked="1"/>
        <c:majorTickMark val="out"/>
        <c:minorTickMark val="none"/>
        <c:tickLblPos val="nextTo"/>
        <c:crossAx val="152261376"/>
        <c:crosses val="autoZero"/>
        <c:crossBetween val="midCat"/>
      </c:valAx>
    </c:plotArea>
    <c:legend>
      <c:legendPos val="r"/>
      <c:overlay val="0"/>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oneCellAnchor>
    <xdr:from>
      <xdr:col>0</xdr:col>
      <xdr:colOff>771525</xdr:colOff>
      <xdr:row>4</xdr:row>
      <xdr:rowOff>0</xdr:rowOff>
    </xdr:from>
    <xdr:ext cx="241797" cy="172227"/>
    <xdr:sp macro="" textlink="">
      <xdr:nvSpPr>
        <xdr:cNvPr id="2" name="TextBox 1"/>
        <xdr:cNvSpPr txBox="1"/>
      </xdr:nvSpPr>
      <xdr:spPr>
        <a:xfrm>
          <a:off x="771525" y="762000"/>
          <a:ext cx="24179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hr-HR" sz="1100" i="0">
              <a:latin typeface="Cambria Math" panose="02040503050406030204" pitchFamily="18" charset="0"/>
            </a:rPr>
            <a:t>𝑛_𝑘𝑣</a:t>
          </a:r>
          <a:endParaRPr lang="hr-HR"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152399</xdr:colOff>
      <xdr:row>65</xdr:row>
      <xdr:rowOff>38099</xdr:rowOff>
    </xdr:from>
    <xdr:to>
      <xdr:col>5</xdr:col>
      <xdr:colOff>333374</xdr:colOff>
      <xdr:row>78</xdr:row>
      <xdr:rowOff>47624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6</xdr:col>
      <xdr:colOff>9525</xdr:colOff>
      <xdr:row>66</xdr:row>
      <xdr:rowOff>19050</xdr:rowOff>
    </xdr:from>
    <xdr:ext cx="741229" cy="356893"/>
    <xdr:sp macro="" textlink="">
      <xdr:nvSpPr>
        <xdr:cNvPr id="5" name="TextBox 4"/>
        <xdr:cNvSpPr txBox="1"/>
      </xdr:nvSpPr>
      <xdr:spPr>
        <a:xfrm>
          <a:off x="8001000" y="12801600"/>
          <a:ext cx="741229" cy="3568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hr-HR" sz="1100" i="0">
              <a:latin typeface="Cambria Math" panose="02040503050406030204" pitchFamily="18" charset="0"/>
            </a:rPr>
            <a:t>𝑥 ̅=(∑128▒𝑓_𝑖 ⋅𝑥_𝑖)/(∑128▒𝑓ⅈ)</a:t>
          </a:r>
          <a:endParaRPr lang="hr-HR" sz="1100"/>
        </a:p>
      </xdr:txBody>
    </xdr:sp>
    <xdr:clientData/>
  </xdr:oneCellAnchor>
  <xdr:oneCellAnchor>
    <xdr:from>
      <xdr:col>6</xdr:col>
      <xdr:colOff>9525</xdr:colOff>
      <xdr:row>69</xdr:row>
      <xdr:rowOff>0</xdr:rowOff>
    </xdr:from>
    <xdr:ext cx="1880130" cy="352469"/>
    <xdr:sp macro="" textlink="">
      <xdr:nvSpPr>
        <xdr:cNvPr id="6" name="TextBox 5"/>
        <xdr:cNvSpPr txBox="1"/>
      </xdr:nvSpPr>
      <xdr:spPr>
        <a:xfrm>
          <a:off x="8001000" y="13354050"/>
          <a:ext cx="1880130"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hr-HR" sz="1100" i="0">
              <a:latin typeface="Cambria Math" panose="02040503050406030204" pitchFamily="18" charset="0"/>
            </a:rPr>
            <a:t>𝑀_0=𝐿^1+((𝑏−𝑎))/((𝑏−𝑎)+(𝑏−𝑐) )⋅ⅈ</a:t>
          </a:r>
          <a:endParaRPr lang="hr-HR" sz="1100"/>
        </a:p>
      </xdr:txBody>
    </xdr:sp>
    <xdr:clientData/>
  </xdr:oneCellAnchor>
  <xdr:oneCellAnchor>
    <xdr:from>
      <xdr:col>4</xdr:col>
      <xdr:colOff>95250</xdr:colOff>
      <xdr:row>67</xdr:row>
      <xdr:rowOff>114300</xdr:rowOff>
    </xdr:from>
    <xdr:ext cx="1231876" cy="172227"/>
    <xdr:sp macro="" textlink="">
      <xdr:nvSpPr>
        <xdr:cNvPr id="7" name="TextBox 6"/>
        <xdr:cNvSpPr txBox="1"/>
      </xdr:nvSpPr>
      <xdr:spPr>
        <a:xfrm>
          <a:off x="5943600" y="13087350"/>
          <a:ext cx="1231876"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hr-HR" sz="1100" i="0">
              <a:latin typeface="Cambria Math" panose="02040503050406030204" pitchFamily="18" charset="0"/>
            </a:rPr>
            <a:t>"Type equation here."</a:t>
          </a:r>
          <a:endParaRPr lang="hr-HR" sz="1100"/>
        </a:p>
      </xdr:txBody>
    </xdr:sp>
    <xdr:clientData/>
  </xdr:oneCellAnchor>
  <xdr:oneCellAnchor>
    <xdr:from>
      <xdr:col>6</xdr:col>
      <xdr:colOff>4762</xdr:colOff>
      <xdr:row>72</xdr:row>
      <xdr:rowOff>19050</xdr:rowOff>
    </xdr:from>
    <xdr:ext cx="1414746" cy="456087"/>
    <xdr:sp macro="" textlink="">
      <xdr:nvSpPr>
        <xdr:cNvPr id="8" name="TextBox 7"/>
        <xdr:cNvSpPr txBox="1"/>
      </xdr:nvSpPr>
      <xdr:spPr>
        <a:xfrm>
          <a:off x="7996237" y="13944600"/>
          <a:ext cx="1414746" cy="4560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hr-HR" sz="1100" i="0">
              <a:latin typeface="Cambria Math" panose="02040503050406030204" pitchFamily="18" charset="0"/>
            </a:rPr>
            <a:t>𝑀=𝐿_1+[(𝑁/2−∑128▒𝑓_1 )/𝑓_𝑚𝑒𝑑 ]⋅ⅈ</a:t>
          </a:r>
          <a:endParaRPr lang="hr-HR" sz="1100"/>
        </a:p>
      </xdr:txBody>
    </xdr:sp>
    <xdr:clientData/>
  </xdr:oneCellAnchor>
  <xdr:oneCellAnchor>
    <xdr:from>
      <xdr:col>6</xdr:col>
      <xdr:colOff>52387</xdr:colOff>
      <xdr:row>76</xdr:row>
      <xdr:rowOff>0</xdr:rowOff>
    </xdr:from>
    <xdr:ext cx="1413079" cy="457176"/>
    <xdr:sp macro="" textlink="">
      <xdr:nvSpPr>
        <xdr:cNvPr id="9" name="TextBox 8"/>
        <xdr:cNvSpPr txBox="1"/>
      </xdr:nvSpPr>
      <xdr:spPr>
        <a:xfrm>
          <a:off x="8043862" y="14687550"/>
          <a:ext cx="1413079" cy="4571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hr-HR" sz="1100" i="0">
              <a:latin typeface="Cambria Math" panose="02040503050406030204" pitchFamily="18" charset="0"/>
            </a:rPr>
            <a:t>𝑄_3=𝐿_1+(3𝑁/4−∑128▒𝑓_1 )/𝑓_𝑘 ⋅ⅈ</a:t>
          </a:r>
          <a:endParaRPr lang="hr-HR"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38100</xdr:colOff>
      <xdr:row>14</xdr:row>
      <xdr:rowOff>0</xdr:rowOff>
    </xdr:from>
    <xdr:to>
      <xdr:col>8</xdr:col>
      <xdr:colOff>514350</xdr:colOff>
      <xdr:row>25</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38100</xdr:colOff>
      <xdr:row>14</xdr:row>
      <xdr:rowOff>38100</xdr:rowOff>
    </xdr:from>
    <xdr:to>
      <xdr:col>10</xdr:col>
      <xdr:colOff>400050</xdr:colOff>
      <xdr:row>44</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xdr:colOff>
      <xdr:row>8</xdr:row>
      <xdr:rowOff>19050</xdr:rowOff>
    </xdr:from>
    <xdr:to>
      <xdr:col>5</xdr:col>
      <xdr:colOff>638175</xdr:colOff>
      <xdr:row>22</xdr:row>
      <xdr:rowOff>95250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32</xdr:row>
      <xdr:rowOff>0</xdr:rowOff>
    </xdr:from>
    <xdr:to>
      <xdr:col>6</xdr:col>
      <xdr:colOff>0</xdr:colOff>
      <xdr:row>46</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19050</xdr:colOff>
      <xdr:row>4</xdr:row>
      <xdr:rowOff>180975</xdr:rowOff>
    </xdr:from>
    <xdr:to>
      <xdr:col>7</xdr:col>
      <xdr:colOff>76200</xdr:colOff>
      <xdr:row>19</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tonija/Downloads/Lavandini%20proizvodi%20(nov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stali troškovi"/>
      <sheetName val="Tijekovi,predpostavke,troškovi"/>
      <sheetName val="TOBS"/>
      <sheetName val="Otpl-anuiteta Q"/>
      <sheetName val="Pokazatelji"/>
    </sheetNames>
    <sheetDataSet>
      <sheetData sheetId="0" refreshError="1"/>
      <sheetData sheetId="1">
        <row r="9">
          <cell r="F9">
            <v>1879750</v>
          </cell>
        </row>
        <row r="21">
          <cell r="F21">
            <v>637290</v>
          </cell>
        </row>
        <row r="68">
          <cell r="C68">
            <v>637290</v>
          </cell>
        </row>
        <row r="69">
          <cell r="C69">
            <v>95400</v>
          </cell>
        </row>
        <row r="70">
          <cell r="C70">
            <v>12000</v>
          </cell>
        </row>
      </sheetData>
      <sheetData sheetId="2" refreshError="1"/>
      <sheetData sheetId="3" refreshError="1"/>
      <sheetData sheetId="4" refreshError="1"/>
    </sheetDataSet>
  </externalBook>
</externalLink>
</file>

<file path=xl/tables/table1.xml><?xml version="1.0" encoding="utf-8"?>
<table xmlns="http://schemas.openxmlformats.org/spreadsheetml/2006/main" id="1" name="Table6" displayName="Table6" ref="A1:B9" totalsRowShown="0">
  <autoFilter ref="A1:B9"/>
  <tableColumns count="2">
    <tableColumn id="1" name="Imovina:"/>
    <tableColumn id="2" name="Troškovi:" dataDxfId="80"/>
  </tableColumns>
  <tableStyleInfo name="TableStyleMedium14" showFirstColumn="0" showLastColumn="0" showRowStripes="1" showColumnStripes="0"/>
</table>
</file>

<file path=xl/tables/table2.xml><?xml version="1.0" encoding="utf-8"?>
<table xmlns="http://schemas.openxmlformats.org/spreadsheetml/2006/main" id="6" name="Table2" displayName="Table2" ref="A11:D17" totalsRowShown="0">
  <autoFilter ref="A11:D17"/>
  <tableColumns count="4">
    <tableColumn id="1" name="Proizvodna aktivnost"/>
    <tableColumn id="2" name="Broj zaposlenih"/>
    <tableColumn id="3" name="Mjesečno" dataDxfId="79"/>
    <tableColumn id="4" name="Godišnje" dataDxfId="78"/>
  </tableColumns>
  <tableStyleInfo name="TableStyleMedium14" showFirstColumn="0" showLastColumn="0" showRowStripes="1" showColumnStripes="0"/>
</table>
</file>

<file path=xl/tables/table3.xml><?xml version="1.0" encoding="utf-8"?>
<table xmlns="http://schemas.openxmlformats.org/spreadsheetml/2006/main" id="7" name="Table7" displayName="Table7" ref="G2:H18" totalsRowShown="0">
  <autoFilter ref="G2:H18"/>
  <tableColumns count="2">
    <tableColumn id="1" name="Column1"/>
    <tableColumn id="2" name="Column2"/>
  </tableColumns>
  <tableStyleInfo name="TableStyleMedium14" showFirstColumn="0" showLastColumn="0" showRowStripes="1" showColumnStripes="0"/>
</table>
</file>

<file path=xl/tables/table4.xml><?xml version="1.0" encoding="utf-8"?>
<table xmlns="http://schemas.openxmlformats.org/spreadsheetml/2006/main" id="8" name="Table79" displayName="Table79" ref="A32:E41" totalsRowShown="0">
  <autoFilter ref="A32:E41"/>
  <tableColumns count="5">
    <tableColumn id="1" name="Ulazne količine sirovine:"/>
    <tableColumn id="2" name="Količine(kom):"/>
    <tableColumn id="3" name="Nabavna cijena:"/>
    <tableColumn id="4" name="Dnevni trošak  materijala" dataDxfId="77">
      <calculatedColumnFormula>Table79[[#This Row],[Količine(kom):]]*Table79[[#This Row],[Nabavna cijena:]]</calculatedColumnFormula>
    </tableColumn>
    <tableColumn id="5" name="Godišnji trošak" dataDxfId="76">
      <calculatedColumnFormula>Table79[[#This Row],[Dnevni trošak  materijala]]*365</calculatedColumnFormula>
    </tableColumn>
  </tableColumns>
  <tableStyleInfo name="TableStyleMedium14" showFirstColumn="0" showLastColumn="0" showRowStripes="1" showColumnStripes="0"/>
</table>
</file>

<file path=xl/tables/table5.xml><?xml version="1.0" encoding="utf-8"?>
<table xmlns="http://schemas.openxmlformats.org/spreadsheetml/2006/main" id="9" name="Table52" displayName="Table52" ref="A22:E29" totalsRowShown="0" headerRowDxfId="75">
  <autoFilter ref="A22:E29"/>
  <tableColumns count="5">
    <tableColumn id="1" name="Izlazne količine proizvoda za prodaju:"/>
    <tableColumn id="2" name="Količine"/>
    <tableColumn id="3" name="Prodajna cijena"/>
    <tableColumn id="4" name="Dnevni prihod" dataDxfId="74">
      <calculatedColumnFormula>Table52[[#This Row],[Količine]]*Table52[[#This Row],[Prodajna cijena]]</calculatedColumnFormula>
    </tableColumn>
    <tableColumn id="5" name="Godišnji prihod" dataDxfId="73">
      <calculatedColumnFormula>Table52[[#This Row],[Dnevni prihod]]*365</calculatedColumnFormula>
    </tableColumn>
  </tableColumns>
  <tableStyleInfo name="TableStyleMedium14" showFirstColumn="0" showLastColumn="0" showRowStripes="1" showColumnStripes="0"/>
</table>
</file>

<file path=xl/tables/table6.xml><?xml version="1.0" encoding="utf-8"?>
<table xmlns="http://schemas.openxmlformats.org/spreadsheetml/2006/main" id="10" name="Table3" displayName="Table3" ref="A43:C48" totalsRowShown="0">
  <autoFilter ref="A43:C48"/>
  <tableColumns count="3">
    <tableColumn id="1" name="Troškovi komunalija"/>
    <tableColumn id="2" name="Mjesečno u kn" dataDxfId="72"/>
    <tableColumn id="3" name="Godišnje u kn" dataDxfId="71"/>
  </tableColumns>
  <tableStyleInfo name="TableStyleMedium14" showFirstColumn="0" showLastColumn="0" showRowStripes="1" showColumnStripes="0"/>
</table>
</file>

<file path=xl/tables/table7.xml><?xml version="1.0" encoding="utf-8"?>
<table xmlns="http://schemas.openxmlformats.org/spreadsheetml/2006/main" id="11" name="Table4" displayName="Table4" ref="A50:B52" totalsRowShown="0">
  <autoFilter ref="A50:B52"/>
  <tableColumns count="2">
    <tableColumn id="1" name="Čišćenje i održavanje"/>
    <tableColumn id="2" name="Troškovi" dataDxfId="70"/>
  </tableColumns>
  <tableStyleInfo name="TableStyleMedium14" showFirstColumn="0" showLastColumn="0" showRowStripes="1" showColumnStripes="0"/>
</table>
</file>

<file path=xl/tables/table8.xml><?xml version="1.0" encoding="utf-8"?>
<table xmlns="http://schemas.openxmlformats.org/spreadsheetml/2006/main" id="18" name="Table19" displayName="Table19" ref="G22:P34" totalsRowShown="0" headerRowDxfId="69" headerRowCellStyle="Normal" dataCellStyle="Normal">
  <autoFilter ref="G22:P34"/>
  <tableColumns count="10">
    <tableColumn id="1" name="Redni broj" dataCellStyle="Normal"/>
    <tableColumn id="2" name="Naziv" dataCellStyle="Normal"/>
    <tableColumn id="3" name="Nabavna vrij. Invest" dataCellStyle="Normal"/>
    <tableColumn id="4" name="Stopa otpisa" dataCellStyle="Normal"/>
    <tableColumn id="5" name="Godine rada                                                 " dataCellStyle="Normal"/>
    <tableColumn id="6" name="Godine rada                                                 2" dataCellStyle="Normal"/>
    <tableColumn id="7" name="Godine rada                                                 3" dataCellStyle="Normal"/>
    <tableColumn id="8" name="Godine rada                                                 4" dataCellStyle="Normal"/>
    <tableColumn id="9" name="Godine rada                                                 5" dataCellStyle="Normal"/>
    <tableColumn id="10" name="OVP" dataCellStyle="Normal"/>
  </tableColumns>
  <tableStyleInfo name="TableStyleMedium14" showFirstColumn="0" showLastColumn="0" showRowStripes="1" showColumnStripes="0"/>
</table>
</file>

<file path=xl/tables/table9.xml><?xml version="1.0" encoding="utf-8"?>
<table xmlns="http://schemas.openxmlformats.org/spreadsheetml/2006/main" id="27" name="Table7928" displayName="Table7928" ref="G40:S49" totalsRowShown="0">
  <autoFilter ref="G40:S49"/>
  <tableColumns count="13">
    <tableColumn id="1" name="Ulazne količine sirovine:"/>
    <tableColumn id="2" name="Količine(kom):" dataDxfId="68"/>
    <tableColumn id="3" name="Nabavna cijena:" dataDxfId="67"/>
    <tableColumn id="4" name="Dnevni trošak  materijala" dataDxfId="66">
      <calculatedColumnFormula>Table7928[[#This Row],[Količine(kom):]]*Table7928[[#This Row],[Nabavna cijena:]]</calculatedColumnFormula>
    </tableColumn>
    <tableColumn id="5" name="Godišnji trošak" dataDxfId="65">
      <calculatedColumnFormula>Table7928[[#This Row],[Dnevni trošak  materijala]]*365</calculatedColumnFormula>
    </tableColumn>
    <tableColumn id="6" name="kol.02" dataDxfId="64">
      <calculatedColumnFormula>(Table7928[[#This Row],[Količine(kom):]]*20%)+Table7928[[#This Row],[Količine(kom):]]</calculatedColumnFormula>
    </tableColumn>
    <tableColumn id="7" name="2" dataDxfId="63">
      <calculatedColumnFormula>Table7928[[#This Row],[Nabavna cijena:]]*Table7928[[#This Row],[kol.02]]*365</calculatedColumnFormula>
    </tableColumn>
    <tableColumn id="8" name="kol.03" dataDxfId="62"/>
    <tableColumn id="9" name="3" dataDxfId="61"/>
    <tableColumn id="10" name="kol.04" dataDxfId="60">
      <calculatedColumnFormula>(Table7928[[#This Row],[kol.03]]*35%)+Table7928[[#This Row],[kol.03]]</calculatedColumnFormula>
    </tableColumn>
    <tableColumn id="11" name="4" dataDxfId="59"/>
    <tableColumn id="12" name="kol.05" dataDxfId="58">
      <calculatedColumnFormula>(Table7928[[#This Row],[kol.04]]*40%)+Table7928[[#This Row],[kol.04]]</calculatedColumnFormula>
    </tableColumn>
    <tableColumn id="13" name="5" dataDxfId="57"/>
  </tableColumns>
  <tableStyleInfo name="TableStyleMedium14" showFirstColumn="0" showLastColumn="0" showRowStripes="1" showColumnStripes="0"/>
</table>
</file>

<file path=xl/tables/table10.xml><?xml version="1.0" encoding="utf-8"?>
<table xmlns="http://schemas.openxmlformats.org/spreadsheetml/2006/main" id="28" name="Table5229" displayName="Table5229" ref="G52:S59" totalsRowShown="0" headerRowDxfId="56">
  <autoFilter ref="G52:S59"/>
  <tableColumns count="13">
    <tableColumn id="1" name="Izlazne količine proizvoda za prodaju:"/>
    <tableColumn id="2" name="Količine" dataDxfId="55"/>
    <tableColumn id="3" name="Prodajna cijena" dataDxfId="54"/>
    <tableColumn id="4" name="Dnevni prihod" dataDxfId="53">
      <calculatedColumnFormula>Table5229[[#This Row],[Količine]]*Table5229[[#This Row],[Prodajna cijena]]</calculatedColumnFormula>
    </tableColumn>
    <tableColumn id="5" name="Godišnji prihod" dataDxfId="52">
      <calculatedColumnFormula>Table5229[[#This Row],[Dnevni prihod]]*365</calculatedColumnFormula>
    </tableColumn>
    <tableColumn id="14" name="kol.02" dataDxfId="51"/>
    <tableColumn id="15" name="2" dataDxfId="50"/>
    <tableColumn id="16" name="kol.03" dataDxfId="49"/>
    <tableColumn id="17" name="3" dataDxfId="48"/>
    <tableColumn id="18" name="kol.04" dataDxfId="47"/>
    <tableColumn id="19" name="4" dataDxfId="46"/>
    <tableColumn id="20" name="kol.05" dataDxfId="45"/>
    <tableColumn id="21" name="5" dataDxfId="44"/>
  </tableColumns>
  <tableStyleInfo name="TableStyleMedium14" showFirstColumn="0" showLastColumn="0" showRowStripes="1" showColumnStripes="0"/>
</table>
</file>

<file path=xl/tables/table11.xml><?xml version="1.0" encoding="utf-8"?>
<table xmlns="http://schemas.openxmlformats.org/spreadsheetml/2006/main" id="19" name="Table10" displayName="Table10" ref="A2:F16" totalsRowShown="0" headerRowCellStyle="Normal" dataCellStyle="Normal">
  <autoFilter ref="A2:F16"/>
  <tableColumns count="6">
    <tableColumn id="1" name="Column1" dataCellStyle="Normal"/>
    <tableColumn id="2" name="Column2" dataCellStyle="Normal"/>
    <tableColumn id="3" name="Column3" dataCellStyle="Normal"/>
    <tableColumn id="4" name="Column4" dataCellStyle="Normal"/>
    <tableColumn id="5" name="Column5" dataCellStyle="Normal"/>
    <tableColumn id="6" name="Column6" dataCellStyle="Normal"/>
  </tableColumns>
  <tableStyleInfo name="TableStyleMedium14" showFirstColumn="0" showLastColumn="0" showRowStripes="1" showColumnStripes="0"/>
</table>
</file>

<file path=xl/tables/table12.xml><?xml version="1.0" encoding="utf-8"?>
<table xmlns="http://schemas.openxmlformats.org/spreadsheetml/2006/main" id="2" name="Table8" displayName="Table8" ref="A19:H33" totalsRowShown="0" headerRowCellStyle="Normal" dataCellStyle="Normal">
  <autoFilter ref="A19:H33"/>
  <tableColumns count="8">
    <tableColumn id="1" name="OPIS:" dataCellStyle="Normal"/>
    <tableColumn id="2" name="Column1" dataCellStyle="Normal"/>
    <tableColumn id="5" name="GODINE:" dataCellStyle="Normal"/>
    <tableColumn id="6" name="Column6" dataCellStyle="Normal"/>
    <tableColumn id="7" name="Column7" dataCellStyle="Normal"/>
    <tableColumn id="8" name="Column8" dataCellStyle="Normal"/>
    <tableColumn id="9" name="Column9" dataCellStyle="Normal"/>
    <tableColumn id="10" name="Column10" dataCellStyle="Normal"/>
  </tableColumns>
  <tableStyleInfo name="TableStyleMedium14" showFirstColumn="0" showLastColumn="0" showRowStripes="1" showColumnStripes="0"/>
</table>
</file>

<file path=xl/tables/table13.xml><?xml version="1.0" encoding="utf-8"?>
<table xmlns="http://schemas.openxmlformats.org/spreadsheetml/2006/main" id="12" name="Table12" displayName="Table12" ref="A35:G36" totalsRowShown="0">
  <autoFilter ref="A35:G36"/>
  <tableColumns count="7">
    <tableColumn id="1" name="1. Vrijeme povrata sredstava"/>
    <tableColumn id="2" name="0. god." dataDxfId="43">
      <calculatedColumnFormula>C33</calculatedColumnFormula>
    </tableColumn>
    <tableColumn id="3" name="1. god."/>
    <tableColumn id="4" name="2.god." dataDxfId="42"/>
    <tableColumn id="5" name="3.god"/>
    <tableColumn id="6" name="4.god."/>
    <tableColumn id="7" name="5.god"/>
  </tableColumns>
  <tableStyleInfo name="TableStyleMedium14" showFirstColumn="0" showLastColumn="0" showRowStripes="1" showColumnStripes="0"/>
</table>
</file>

<file path=xl/tables/table14.xml><?xml version="1.0" encoding="utf-8"?>
<table xmlns="http://schemas.openxmlformats.org/spreadsheetml/2006/main" id="13" name="Table1214" displayName="Table1214" ref="A39:C45" totalsRowShown="0" headerRowDxfId="41" dataDxfId="40" headerRowCellStyle="Normal" dataCellStyle="Normal">
  <autoFilter ref="A39:C45"/>
  <tableColumns count="3">
    <tableColumn id="1" name="God. Vijeka uporabe" dataDxfId="39" dataCellStyle="Normal"/>
    <tableColumn id="2" name="Neto primici ek.tijeka" dataDxfId="38" dataCellStyle="Normal">
      <calculatedColumnFormula>D31</calculatedColumnFormula>
    </tableColumn>
    <tableColumn id="3" name="Kumulativ ek.tijeka" dataDxfId="37" dataCellStyle="Normal"/>
  </tableColumns>
  <tableStyleInfo name="TableStyleMedium14" showFirstColumn="0" showLastColumn="0" showRowStripes="1" showColumnStripes="0"/>
</table>
</file>

<file path=xl/tables/table15.xml><?xml version="1.0" encoding="utf-8"?>
<table xmlns="http://schemas.openxmlformats.org/spreadsheetml/2006/main" id="17" name="Table5" displayName="Table5" ref="F39:H46" totalsRowShown="0" headerRowDxfId="36" dataDxfId="35" headerRowCellStyle="Normal 3">
  <autoFilter ref="F39:H46"/>
  <tableColumns count="3">
    <tableColumn id="1" name="Diskontna stopa" dataDxfId="34" dataCellStyle="Normal 3"/>
    <tableColumn id="2" name="Diskontni faktor" dataDxfId="33" dataCellStyle="Normal 3"/>
    <tableColumn id="3" name="Sadašnja vrijednost" dataDxfId="32" dataCellStyle="Normal 3"/>
  </tableColumns>
  <tableStyleInfo name="TableStyleMedium14" showFirstColumn="0" showLastColumn="0" showRowStripes="1" showColumnStripes="0"/>
</table>
</file>

<file path=xl/tables/table16.xml><?xml version="1.0" encoding="utf-8"?>
<table xmlns="http://schemas.openxmlformats.org/spreadsheetml/2006/main" id="20" name="Table1921" displayName="Table1921" ref="M39:O46" totalsRowShown="0" headerRowDxfId="31" dataDxfId="30" headerRowCellStyle="Normal 3">
  <autoFilter ref="M39:O46"/>
  <tableColumns count="3">
    <tableColumn id="1" name="Diskontna stopa" dataDxfId="29"/>
    <tableColumn id="2" name="Diskontni faktor" dataDxfId="28" dataCellStyle="Normal 3"/>
    <tableColumn id="3" name="Sadašnja vrijednost" dataDxfId="27" dataCellStyle="Normal 3"/>
  </tableColumns>
  <tableStyleInfo name="TableStyleMedium14" showFirstColumn="0" showLastColumn="0" showRowStripes="1" showColumnStripes="0"/>
</table>
</file>

<file path=xl/tables/table17.xml><?xml version="1.0" encoding="utf-8"?>
<table xmlns="http://schemas.openxmlformats.org/spreadsheetml/2006/main" id="21" name="Table20" displayName="Table20" ref="F49:K56" totalsRowShown="0" headerRowDxfId="26" dataDxfId="25" headerRowCellStyle="Normal 3" dataCellStyle="Normal 3">
  <autoFilter ref="F49:K56"/>
  <tableColumns count="6">
    <tableColumn id="1" name="Diskontna stopa" dataDxfId="24"/>
    <tableColumn id="2" name="Diskontni faktor" dataDxfId="23" dataCellStyle="Normal 3"/>
    <tableColumn id="3" name="Sadašnja vrijednost" dataDxfId="22" dataCellStyle="Normal 3"/>
    <tableColumn id="4" name="Diskontna stopa2" dataDxfId="21"/>
    <tableColumn id="5" name="Diskontni faktor2" dataDxfId="20" dataCellStyle="Normal 3"/>
    <tableColumn id="6" name="Sadašnja vrijednost2" dataDxfId="19" dataCellStyle="Normal 3"/>
  </tableColumns>
  <tableStyleInfo name="TableStyleMedium14" showFirstColumn="0" showLastColumn="0" showRowStripes="1" showColumnStripes="0"/>
</table>
</file>

<file path=xl/tables/table18.xml><?xml version="1.0" encoding="utf-8"?>
<table xmlns="http://schemas.openxmlformats.org/spreadsheetml/2006/main" id="3" name="Table16" displayName="Table16" ref="A12:E37" totalsRowCount="1">
  <autoFilter ref="A12:E36"/>
  <tableColumns count="5">
    <tableColumn id="1" name="Godina" totalsRowLabel="UKUPNO"/>
    <tableColumn id="2" name="Anuitet" totalsRowFunction="custom" totalsRowDxfId="18">
      <totalsRowFormula>SUM(B16:B36)</totalsRowFormula>
    </tableColumn>
    <tableColumn id="3" name="Kamate" totalsRowFunction="custom" dataDxfId="17" totalsRowDxfId="16">
      <calculatedColumnFormula>(Table16[[#This Row],[Ostatak duga]]*0.07/4)</calculatedColumnFormula>
      <totalsRowFormula>SUM(C16:C36)</totalsRowFormula>
    </tableColumn>
    <tableColumn id="4" name="Otplatna kvota" totalsRowFunction="custom" dataDxfId="15" totalsRowDxfId="14">
      <calculatedColumnFormula>Table16[[#This Row],[Anuitet]]-Table16[[#This Row],[Kamate]]</calculatedColumnFormula>
      <totalsRowFormula>SUM(D16:D36)</totalsRowFormula>
    </tableColumn>
    <tableColumn id="5" name="Ostatak duga"/>
  </tableColumns>
  <tableStyleInfo name="TableStyleMedium14" showFirstColumn="0" showLastColumn="0" showRowStripes="1" showColumnStripes="0"/>
</table>
</file>

<file path=xl/tables/table19.xml><?xml version="1.0" encoding="utf-8"?>
<table xmlns="http://schemas.openxmlformats.org/spreadsheetml/2006/main" id="4" name="Table17" displayName="Table17" ref="H15:J23" totalsRowShown="0">
  <autoFilter ref="H15:J23"/>
  <tableColumns count="3">
    <tableColumn id="1" name=" Godina"/>
    <tableColumn id="2" name="Godišnja kamata"/>
    <tableColumn id="3" name="Godišnja otplata"/>
  </tableColumns>
  <tableStyleInfo name="TableStyleMedium14" showFirstColumn="0" showLastColumn="0" showRowStripes="1" showColumnStripes="0"/>
</table>
</file>

<file path=xl/tables/table20.xml><?xml version="1.0" encoding="utf-8"?>
<table xmlns="http://schemas.openxmlformats.org/spreadsheetml/2006/main" id="5" name="Table18" displayName="Table18" ref="H26:O29" totalsRowShown="0" headerRowDxfId="13" dataDxfId="12">
  <autoFilter ref="H26:O29"/>
  <tableColumns count="8">
    <tableColumn id="1" name="god. Cca" dataDxfId="11"/>
    <tableColumn id="2" name="2013." dataDxfId="10"/>
    <tableColumn id="3" name="2014." dataDxfId="9">
      <calculatedColumnFormula>ROUND(J18,0)</calculatedColumnFormula>
    </tableColumn>
    <tableColumn id="4" name="2015." dataDxfId="8">
      <calculatedColumnFormula>ROUND(J19,0)</calculatedColumnFormula>
    </tableColumn>
    <tableColumn id="5" name="2016." dataDxfId="7">
      <calculatedColumnFormula>ROUND(J20,0)</calculatedColumnFormula>
    </tableColumn>
    <tableColumn id="6" name="2017." dataDxfId="6">
      <calculatedColumnFormula>ROUND(J21,0)</calculatedColumnFormula>
    </tableColumn>
    <tableColumn id="7" name="2018." dataDxfId="5">
      <calculatedColumnFormula>ROUND(J22,0)</calculatedColumnFormula>
    </tableColumn>
    <tableColumn id="8" name="Ukupno:" dataDxfId="4">
      <calculatedColumnFormula>SUM(Table18[[#This Row],[2013.]:[2018.]])</calculatedColumnFormula>
    </tableColumn>
  </tableColumns>
  <tableStyleInfo name="TableStyleMedium14" showFirstColumn="0" showLastColumn="0" showRowStripes="1" showColumnStripes="0"/>
</table>
</file>

<file path=xl/tables/table21.xml><?xml version="1.0" encoding="utf-8"?>
<table xmlns="http://schemas.openxmlformats.org/spreadsheetml/2006/main" id="14" name="Table14" displayName="Table14" ref="A2:B8" totalsRowShown="0">
  <autoFilter ref="A2:B8"/>
  <tableColumns count="2">
    <tableColumn id="1" name="Column1"/>
    <tableColumn id="2" name="Column2" dataDxfId="3"/>
  </tableColumns>
  <tableStyleInfo name="TableStyleMedium14" showFirstColumn="0" showLastColumn="0" showRowStripes="1" showColumnStripes="0"/>
</table>
</file>

<file path=xl/tables/table22.xml><?xml version="1.0" encoding="utf-8"?>
<table xmlns="http://schemas.openxmlformats.org/spreadsheetml/2006/main" id="15" name="Table1416" displayName="Table1416" ref="B2:D17" totalsRowShown="0">
  <autoFilter ref="B2:D17"/>
  <tableColumns count="3">
    <tableColumn id="1" name="Potrebna TOBS u 2014.godini"/>
    <tableColumn id="2" name="Column1"/>
    <tableColumn id="3" name="Column2" dataDxfId="2">
      <calculatedColumnFormula>C4*#REF!/365</calculatedColumnFormula>
    </tableColumn>
  </tableColumns>
  <tableStyleInfo name="TableStyleMedium14" showFirstColumn="0" showLastColumn="0" showRowStripes="1" showColumnStripes="0"/>
</table>
</file>

<file path=xl/tables/table23.xml><?xml version="1.0" encoding="utf-8"?>
<table xmlns="http://schemas.openxmlformats.org/spreadsheetml/2006/main" id="22" name="Table11" displayName="Table11" ref="A2:G14" totalsRowShown="0">
  <autoFilter ref="A2:G14"/>
  <tableColumns count="7">
    <tableColumn id="1" name="Column1"/>
    <tableColumn id="2" name="2013" dataDxfId="1"/>
    <tableColumn id="7" name="2014" dataDxfId="0"/>
    <tableColumn id="3" name="2015"/>
    <tableColumn id="4" name="2016"/>
    <tableColumn id="5" name="2017"/>
    <tableColumn id="6" name="2018"/>
  </tableColumns>
  <tableStyleInfo name="TableStyleMedium14" showFirstColumn="0" showLastColumn="0" showRowStripes="1" showColumnStripes="0"/>
</table>
</file>

<file path=xl/tables/table24.xml><?xml version="1.0" encoding="utf-8"?>
<table xmlns="http://schemas.openxmlformats.org/spreadsheetml/2006/main" id="23" name="Table23" displayName="Table23" ref="A17:N36" totalsRowShown="0">
  <autoFilter ref="A17:N36"/>
  <tableColumns count="14">
    <tableColumn id="1" name="Column1"/>
    <tableColumn id="2" name="Column2"/>
    <tableColumn id="3" name="1"/>
    <tableColumn id="4" name="Column4"/>
    <tableColumn id="5" name="2"/>
    <tableColumn id="6" name="Column6"/>
    <tableColumn id="7" name="3"/>
    <tableColumn id="8" name="Column8"/>
    <tableColumn id="9" name="4"/>
    <tableColumn id="10" name="Column10"/>
    <tableColumn id="11" name="5"/>
    <tableColumn id="12" name="Column12"/>
    <tableColumn id="13" name="pro"/>
    <tableColumn id="14" name="Column14"/>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3.xml"/><Relationship Id="rId7" Type="http://schemas.openxmlformats.org/officeDocument/2006/relationships/table" Target="../tables/table17.xml"/><Relationship Id="rId2" Type="http://schemas.openxmlformats.org/officeDocument/2006/relationships/table" Target="../tables/table12.xml"/><Relationship Id="rId1" Type="http://schemas.openxmlformats.org/officeDocument/2006/relationships/table" Target="../tables/table11.xml"/><Relationship Id="rId6" Type="http://schemas.openxmlformats.org/officeDocument/2006/relationships/table" Target="../tables/table16.xml"/><Relationship Id="rId5" Type="http://schemas.openxmlformats.org/officeDocument/2006/relationships/table" Target="../tables/table15.xml"/><Relationship Id="rId4" Type="http://schemas.openxmlformats.org/officeDocument/2006/relationships/table" Target="../tables/table1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drawing" Target="../drawings/drawing1.xml"/><Relationship Id="rId5" Type="http://schemas.openxmlformats.org/officeDocument/2006/relationships/table" Target="../tables/table21.xml"/><Relationship Id="rId4" Type="http://schemas.openxmlformats.org/officeDocument/2006/relationships/table" Target="../tables/table20.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table" Target="../tables/table2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9"/>
  <sheetViews>
    <sheetView topLeftCell="D21" workbookViewId="0">
      <selection activeCell="Q38" sqref="Q38"/>
    </sheetView>
  </sheetViews>
  <sheetFormatPr defaultRowHeight="15" x14ac:dyDescent="0.25"/>
  <cols>
    <col min="1" max="1" width="27.42578125" customWidth="1"/>
    <col min="2" max="2" width="19.140625" customWidth="1"/>
    <col min="3" max="3" width="13.42578125" customWidth="1"/>
    <col min="4" max="4" width="12.85546875" customWidth="1"/>
    <col min="5" max="5" width="17.140625" bestFit="1" customWidth="1"/>
    <col min="6" max="6" width="12.28515625" customWidth="1"/>
    <col min="7" max="7" width="24.28515625" customWidth="1"/>
    <col min="8" max="8" width="18.7109375" customWidth="1"/>
    <col min="9" max="9" width="11.5703125" customWidth="1"/>
    <col min="10" max="10" width="10.28515625" customWidth="1"/>
    <col min="11" max="11" width="12.140625" customWidth="1"/>
    <col min="12" max="12" width="8.140625" customWidth="1"/>
    <col min="13" max="13" width="10.5703125" bestFit="1" customWidth="1"/>
    <col min="14" max="14" width="8.5703125" customWidth="1"/>
    <col min="15" max="15" width="10.5703125" bestFit="1" customWidth="1"/>
    <col min="16" max="16" width="8.7109375" customWidth="1"/>
    <col min="17" max="17" width="11.85546875" bestFit="1" customWidth="1"/>
    <col min="18" max="18" width="9.5703125" bestFit="1" customWidth="1"/>
    <col min="19" max="19" width="11.85546875" bestFit="1" customWidth="1"/>
  </cols>
  <sheetData>
    <row r="1" spans="1:9" ht="15" customHeight="1" x14ac:dyDescent="0.25">
      <c r="A1" t="s">
        <v>0</v>
      </c>
      <c r="B1" t="s">
        <v>1</v>
      </c>
      <c r="G1" s="251" t="s">
        <v>38</v>
      </c>
      <c r="H1" s="251"/>
      <c r="I1" s="13"/>
    </row>
    <row r="2" spans="1:9" x14ac:dyDescent="0.25">
      <c r="A2" s="1" t="s">
        <v>2</v>
      </c>
      <c r="B2" s="2">
        <v>75000</v>
      </c>
      <c r="G2" t="s">
        <v>39</v>
      </c>
      <c r="H2" t="s">
        <v>40</v>
      </c>
    </row>
    <row r="3" spans="1:9" x14ac:dyDescent="0.25">
      <c r="A3" t="s">
        <v>3</v>
      </c>
      <c r="B3" s="2">
        <v>22500</v>
      </c>
      <c r="G3" t="s">
        <v>43</v>
      </c>
      <c r="H3" s="8" t="s">
        <v>42</v>
      </c>
    </row>
    <row r="4" spans="1:9" x14ac:dyDescent="0.25">
      <c r="A4" t="s">
        <v>4</v>
      </c>
      <c r="B4" s="2">
        <v>11250</v>
      </c>
      <c r="G4" t="s">
        <v>122</v>
      </c>
      <c r="H4" s="4">
        <f>H5+H6</f>
        <v>926344</v>
      </c>
    </row>
    <row r="5" spans="1:9" x14ac:dyDescent="0.25">
      <c r="A5" t="s">
        <v>5</v>
      </c>
      <c r="B5" s="2">
        <v>75000</v>
      </c>
      <c r="G5" t="s">
        <v>44</v>
      </c>
      <c r="H5" s="4">
        <f>Otpl.kredita!B3</f>
        <v>350000</v>
      </c>
    </row>
    <row r="6" spans="1:9" x14ac:dyDescent="0.25">
      <c r="A6" t="s">
        <v>6</v>
      </c>
      <c r="B6" s="2">
        <v>46250</v>
      </c>
      <c r="G6" t="s">
        <v>45</v>
      </c>
      <c r="H6" s="4">
        <v>576344</v>
      </c>
    </row>
    <row r="7" spans="1:9" x14ac:dyDescent="0.25">
      <c r="A7" t="s">
        <v>7</v>
      </c>
      <c r="B7" s="2">
        <v>30000</v>
      </c>
      <c r="G7" t="s">
        <v>46</v>
      </c>
      <c r="H7" s="4"/>
    </row>
    <row r="8" spans="1:9" x14ac:dyDescent="0.25">
      <c r="A8" s="1" t="s">
        <v>8</v>
      </c>
      <c r="B8" s="2">
        <v>90000</v>
      </c>
      <c r="G8" t="s">
        <v>47</v>
      </c>
      <c r="H8" s="4">
        <f>E29</f>
        <v>1879750</v>
      </c>
    </row>
    <row r="9" spans="1:9" x14ac:dyDescent="0.25">
      <c r="A9" s="1" t="s">
        <v>9</v>
      </c>
      <c r="B9" s="2">
        <f>SUM(B2:B8)</f>
        <v>350000</v>
      </c>
      <c r="G9" t="s">
        <v>48</v>
      </c>
      <c r="H9" s="4"/>
    </row>
    <row r="10" spans="1:9" x14ac:dyDescent="0.25">
      <c r="G10" t="s">
        <v>49</v>
      </c>
      <c r="H10" s="4">
        <f>E41</f>
        <v>637290</v>
      </c>
    </row>
    <row r="11" spans="1:9" x14ac:dyDescent="0.25">
      <c r="A11" t="s">
        <v>28</v>
      </c>
      <c r="B11" t="s">
        <v>29</v>
      </c>
      <c r="C11" t="s">
        <v>30</v>
      </c>
      <c r="D11" t="s">
        <v>31</v>
      </c>
      <c r="G11" t="s">
        <v>93</v>
      </c>
      <c r="H11" s="4">
        <f>C48+B52</f>
        <v>107400</v>
      </c>
    </row>
    <row r="12" spans="1:9" x14ac:dyDescent="0.25">
      <c r="A12" s="1" t="s">
        <v>32</v>
      </c>
      <c r="B12" s="1">
        <v>2</v>
      </c>
      <c r="C12" s="7">
        <f xml:space="preserve"> 3500 *Table2[[#This Row],[Broj zaposlenih]]</f>
        <v>7000</v>
      </c>
      <c r="D12" s="2">
        <f>Table2[[#This Row],[Mjesečno]]*12</f>
        <v>84000</v>
      </c>
      <c r="G12" t="s">
        <v>50</v>
      </c>
      <c r="H12" s="4">
        <f>D17</f>
        <v>528000</v>
      </c>
    </row>
    <row r="13" spans="1:9" x14ac:dyDescent="0.25">
      <c r="A13" t="s">
        <v>33</v>
      </c>
      <c r="B13">
        <v>4</v>
      </c>
      <c r="C13" s="2">
        <f>4200*4</f>
        <v>16800</v>
      </c>
      <c r="D13" s="2">
        <f>Table2[[#This Row],[Mjesečno]]*12</f>
        <v>201600</v>
      </c>
      <c r="G13" s="9" t="s">
        <v>51</v>
      </c>
      <c r="H13" s="2">
        <f>K30</f>
        <v>41700</v>
      </c>
    </row>
    <row r="14" spans="1:9" x14ac:dyDescent="0.25">
      <c r="A14" t="s">
        <v>34</v>
      </c>
      <c r="B14">
        <v>3</v>
      </c>
      <c r="C14" s="2">
        <f>3800*3</f>
        <v>11400</v>
      </c>
      <c r="D14" s="2">
        <f>Table2[[#This Row],[Mjesečno]]*12</f>
        <v>136800</v>
      </c>
      <c r="G14" s="12"/>
      <c r="H14" s="9" t="s">
        <v>52</v>
      </c>
    </row>
    <row r="15" spans="1:9" x14ac:dyDescent="0.25">
      <c r="A15" t="s">
        <v>35</v>
      </c>
      <c r="B15">
        <v>2</v>
      </c>
      <c r="C15" s="2">
        <f>3800*2</f>
        <v>7600</v>
      </c>
      <c r="D15" s="2">
        <f>Table2[[#This Row],[Mjesečno]]*12</f>
        <v>91200</v>
      </c>
      <c r="G15" s="12"/>
      <c r="H15" s="9" t="s">
        <v>56</v>
      </c>
    </row>
    <row r="16" spans="1:9" x14ac:dyDescent="0.25">
      <c r="A16" t="s">
        <v>36</v>
      </c>
      <c r="B16">
        <v>1</v>
      </c>
      <c r="C16" s="2">
        <v>1200</v>
      </c>
      <c r="D16" s="2">
        <f>Table2[[#This Row],[Mjesečno]]*12</f>
        <v>14400</v>
      </c>
      <c r="G16" t="s">
        <v>54</v>
      </c>
    </row>
    <row r="17" spans="1:16" x14ac:dyDescent="0.25">
      <c r="A17" s="1" t="s">
        <v>37</v>
      </c>
      <c r="B17" s="1">
        <f>SUM(B12:B16)</f>
        <v>12</v>
      </c>
      <c r="C17" s="7">
        <f>SUM(C12:C16)</f>
        <v>44000</v>
      </c>
      <c r="D17" s="2">
        <f>SUM(D12:D16)</f>
        <v>528000</v>
      </c>
      <c r="G17" t="s">
        <v>55</v>
      </c>
      <c r="H17" s="8" t="s">
        <v>53</v>
      </c>
    </row>
    <row r="18" spans="1:16" x14ac:dyDescent="0.25">
      <c r="G18" t="s">
        <v>145</v>
      </c>
      <c r="H18" s="22">
        <f>TOBS!C5</f>
        <v>1344.2739726027394</v>
      </c>
    </row>
    <row r="21" spans="1:16" ht="15.75" x14ac:dyDescent="0.25">
      <c r="A21" s="253" t="s">
        <v>57</v>
      </c>
      <c r="B21" s="253"/>
      <c r="C21" s="253"/>
      <c r="D21" s="253"/>
      <c r="E21" s="253"/>
      <c r="G21" s="254" t="s">
        <v>160</v>
      </c>
      <c r="H21" s="254"/>
      <c r="I21" s="254"/>
      <c r="J21" s="254"/>
      <c r="K21" s="254"/>
      <c r="L21" s="254"/>
      <c r="M21" s="254"/>
      <c r="N21" s="254"/>
      <c r="O21" s="254"/>
      <c r="P21" s="254"/>
    </row>
    <row r="22" spans="1:16" ht="45" x14ac:dyDescent="0.25">
      <c r="A22" s="10" t="s">
        <v>58</v>
      </c>
      <c r="B22" s="10" t="s">
        <v>59</v>
      </c>
      <c r="C22" s="10" t="s">
        <v>60</v>
      </c>
      <c r="D22" s="10" t="s">
        <v>61</v>
      </c>
      <c r="E22" s="10" t="s">
        <v>62</v>
      </c>
      <c r="G22" s="10" t="s">
        <v>100</v>
      </c>
      <c r="H22" s="10" t="s">
        <v>114</v>
      </c>
      <c r="I22" s="10" t="s">
        <v>101</v>
      </c>
      <c r="J22" s="10" t="s">
        <v>102</v>
      </c>
      <c r="K22" s="10" t="s">
        <v>103</v>
      </c>
      <c r="L22" s="10" t="s">
        <v>138</v>
      </c>
      <c r="M22" s="10" t="s">
        <v>139</v>
      </c>
      <c r="N22" s="10" t="s">
        <v>140</v>
      </c>
      <c r="O22" s="10" t="s">
        <v>141</v>
      </c>
      <c r="P22" s="10" t="s">
        <v>104</v>
      </c>
    </row>
    <row r="23" spans="1:16" x14ac:dyDescent="0.25">
      <c r="A23" s="1" t="s">
        <v>63</v>
      </c>
      <c r="B23" s="1">
        <v>45</v>
      </c>
      <c r="C23">
        <v>26</v>
      </c>
      <c r="D23" s="2">
        <f>Table52[[#This Row],[Količine]]*Table52[[#This Row],[Prodajna cijena]]</f>
        <v>1170</v>
      </c>
      <c r="E23" s="2">
        <f>Table52[[#This Row],[Dnevni prihod]]*365</f>
        <v>427050</v>
      </c>
      <c r="K23">
        <v>0</v>
      </c>
      <c r="L23">
        <v>1</v>
      </c>
      <c r="M23">
        <v>2</v>
      </c>
      <c r="N23">
        <v>3</v>
      </c>
      <c r="O23">
        <v>4</v>
      </c>
      <c r="P23">
        <v>5</v>
      </c>
    </row>
    <row r="24" spans="1:16" x14ac:dyDescent="0.25">
      <c r="A24" t="s">
        <v>64</v>
      </c>
      <c r="B24">
        <v>62</v>
      </c>
      <c r="C24">
        <v>8</v>
      </c>
      <c r="D24" s="2">
        <f>Table52[[#This Row],[Količine]]*Table52[[#This Row],[Prodajna cijena]]</f>
        <v>496</v>
      </c>
      <c r="E24" s="2">
        <f>Table52[[#This Row],[Dnevni prihod]]*365</f>
        <v>181040</v>
      </c>
      <c r="K24" t="s">
        <v>15</v>
      </c>
      <c r="L24" t="s">
        <v>19</v>
      </c>
      <c r="M24" t="s">
        <v>20</v>
      </c>
      <c r="N24" t="s">
        <v>21</v>
      </c>
      <c r="O24" t="s">
        <v>22</v>
      </c>
      <c r="P24" t="s">
        <v>23</v>
      </c>
    </row>
    <row r="25" spans="1:16" x14ac:dyDescent="0.25">
      <c r="A25" t="s">
        <v>65</v>
      </c>
      <c r="B25">
        <v>65</v>
      </c>
      <c r="C25">
        <v>10</v>
      </c>
      <c r="D25" s="2">
        <f>Table52[[#This Row],[Količine]]*Table52[[#This Row],[Prodajna cijena]]</f>
        <v>650</v>
      </c>
      <c r="E25" s="2">
        <f>Table52[[#This Row],[Dnevni prihod]]*365</f>
        <v>237250</v>
      </c>
      <c r="G25" t="s">
        <v>115</v>
      </c>
      <c r="H25" t="s">
        <v>105</v>
      </c>
    </row>
    <row r="26" spans="1:16" x14ac:dyDescent="0.25">
      <c r="A26" s="1" t="s">
        <v>66</v>
      </c>
      <c r="B26" s="1">
        <v>31</v>
      </c>
      <c r="C26">
        <v>12</v>
      </c>
      <c r="D26" s="2">
        <f>Table52[[#This Row],[Količine]]*Table52[[#This Row],[Prodajna cijena]]</f>
        <v>372</v>
      </c>
      <c r="E26" s="2">
        <f>Table52[[#This Row],[Dnevni prihod]]*365</f>
        <v>135780</v>
      </c>
      <c r="G26" t="s">
        <v>116</v>
      </c>
      <c r="H26" t="s">
        <v>106</v>
      </c>
      <c r="I26" s="2">
        <v>500000</v>
      </c>
      <c r="J26" s="2">
        <v>0</v>
      </c>
      <c r="K26" s="2">
        <v>0</v>
      </c>
      <c r="L26" s="2">
        <v>0</v>
      </c>
      <c r="M26" s="2">
        <v>0</v>
      </c>
      <c r="N26" s="2">
        <v>0</v>
      </c>
      <c r="O26" s="2">
        <v>0</v>
      </c>
      <c r="P26" s="2">
        <v>500000</v>
      </c>
    </row>
    <row r="27" spans="1:16" ht="30" customHeight="1" x14ac:dyDescent="0.25">
      <c r="A27" s="17" t="s">
        <v>67</v>
      </c>
      <c r="B27" s="1">
        <v>42</v>
      </c>
      <c r="C27">
        <v>35</v>
      </c>
      <c r="D27" s="2">
        <f>Table52[[#This Row],[Količine]]*Table52[[#This Row],[Prodajna cijena]]</f>
        <v>1470</v>
      </c>
      <c r="E27" s="2">
        <f>Table52[[#This Row],[Dnevni prihod]]*365</f>
        <v>536550</v>
      </c>
      <c r="G27" t="s">
        <v>117</v>
      </c>
      <c r="H27" t="s">
        <v>107</v>
      </c>
      <c r="I27" s="2">
        <v>90000</v>
      </c>
      <c r="J27" s="2">
        <v>0.03</v>
      </c>
      <c r="K27" s="2">
        <f>$I$27*$J$27</f>
        <v>2700</v>
      </c>
      <c r="L27" s="2">
        <f t="shared" ref="L27:O27" si="0">$I$27*$J$27</f>
        <v>2700</v>
      </c>
      <c r="M27" s="2">
        <f t="shared" si="0"/>
        <v>2700</v>
      </c>
      <c r="N27" s="2">
        <f t="shared" si="0"/>
        <v>2700</v>
      </c>
      <c r="O27" s="2">
        <f t="shared" si="0"/>
        <v>2700</v>
      </c>
      <c r="P27" s="2">
        <f>I27-SUM(K27:O27)</f>
        <v>76500</v>
      </c>
    </row>
    <row r="28" spans="1:16" x14ac:dyDescent="0.25">
      <c r="A28" t="s">
        <v>68</v>
      </c>
      <c r="B28">
        <v>62</v>
      </c>
      <c r="C28">
        <v>16</v>
      </c>
      <c r="D28" s="2">
        <f>Table52[[#This Row],[Količine]]*Table52[[#This Row],[Prodajna cijena]]</f>
        <v>992</v>
      </c>
      <c r="E28" s="2">
        <f>Table52[[#This Row],[Dnevni prihod]]*365</f>
        <v>362080</v>
      </c>
      <c r="G28" t="s">
        <v>118</v>
      </c>
      <c r="H28" t="s">
        <v>108</v>
      </c>
      <c r="I28" s="2">
        <v>260000</v>
      </c>
      <c r="J28" s="2">
        <v>0.15</v>
      </c>
      <c r="K28" s="2">
        <f>$I$28*$J$28</f>
        <v>39000</v>
      </c>
      <c r="L28" s="2">
        <f t="shared" ref="L28:O28" si="1">$I$28*$J$28</f>
        <v>39000</v>
      </c>
      <c r="M28" s="2">
        <f t="shared" si="1"/>
        <v>39000</v>
      </c>
      <c r="N28" s="2">
        <f t="shared" si="1"/>
        <v>39000</v>
      </c>
      <c r="O28" s="2">
        <f t="shared" si="1"/>
        <v>39000</v>
      </c>
      <c r="P28" s="2">
        <f t="shared" ref="P28:P29" si="2">I28-SUM(K28:O28)</f>
        <v>65000</v>
      </c>
    </row>
    <row r="29" spans="1:16" x14ac:dyDescent="0.25">
      <c r="A29" s="1" t="s">
        <v>69</v>
      </c>
      <c r="B29" s="1">
        <f>SUM(B23:B28)</f>
        <v>307</v>
      </c>
      <c r="C29" s="1">
        <f>SUM(C23:C28)</f>
        <v>107</v>
      </c>
      <c r="D29" s="7">
        <f>SUM(D23:D28)</f>
        <v>5150</v>
      </c>
      <c r="E29" s="7">
        <f>SUM(E23:E28)</f>
        <v>1879750</v>
      </c>
      <c r="G29" t="s">
        <v>119</v>
      </c>
      <c r="H29" t="s">
        <v>109</v>
      </c>
      <c r="I29" s="2">
        <v>75000</v>
      </c>
      <c r="J29" s="2">
        <v>0</v>
      </c>
      <c r="K29" s="2">
        <v>0</v>
      </c>
      <c r="L29" s="2">
        <v>0</v>
      </c>
      <c r="M29" s="2">
        <v>0</v>
      </c>
      <c r="N29" s="2">
        <v>0</v>
      </c>
      <c r="O29" s="2">
        <v>0</v>
      </c>
      <c r="P29" s="2">
        <f t="shared" si="2"/>
        <v>75000</v>
      </c>
    </row>
    <row r="30" spans="1:16" x14ac:dyDescent="0.25">
      <c r="G30" t="s">
        <v>120</v>
      </c>
      <c r="H30" t="s">
        <v>110</v>
      </c>
      <c r="I30" s="2">
        <f>SUM(I26:I29)</f>
        <v>925000</v>
      </c>
      <c r="J30" s="2"/>
      <c r="K30" s="2">
        <f>SUM(K27:K28)</f>
        <v>41700</v>
      </c>
      <c r="L30" s="2">
        <f>SUM(L27:L28)</f>
        <v>41700</v>
      </c>
      <c r="M30" s="2">
        <f>SUM(M27:M28)</f>
        <v>41700</v>
      </c>
      <c r="N30" s="2">
        <f>SUM(N26:N28)</f>
        <v>41700</v>
      </c>
      <c r="O30" s="2">
        <f>SUM(O26:O28)</f>
        <v>41700</v>
      </c>
      <c r="P30" s="2"/>
    </row>
    <row r="31" spans="1:16" ht="15.75" x14ac:dyDescent="0.25">
      <c r="A31" s="252" t="s">
        <v>70</v>
      </c>
      <c r="B31" s="252"/>
      <c r="C31" s="252"/>
      <c r="D31" s="252"/>
      <c r="E31" s="252"/>
      <c r="G31" t="s">
        <v>121</v>
      </c>
      <c r="H31" t="s">
        <v>111</v>
      </c>
      <c r="I31" s="2"/>
      <c r="J31" s="2"/>
      <c r="K31" s="2">
        <f>I30-K30</f>
        <v>883300</v>
      </c>
      <c r="L31" s="2">
        <f>I30-K30-L30</f>
        <v>841600</v>
      </c>
      <c r="M31" s="2">
        <f>I30-K30-L30-M30</f>
        <v>799900</v>
      </c>
      <c r="N31" s="2">
        <f>I30-K30-L30-M30-N30</f>
        <v>758200</v>
      </c>
      <c r="O31" s="2">
        <f>I30-K30-L30-M30-N30-O30</f>
        <v>716500</v>
      </c>
      <c r="P31" s="2">
        <f>SUM(P26:P29)</f>
        <v>716500</v>
      </c>
    </row>
    <row r="32" spans="1:16" ht="30" customHeight="1" x14ac:dyDescent="0.25">
      <c r="A32" t="s">
        <v>71</v>
      </c>
      <c r="B32" t="s">
        <v>72</v>
      </c>
      <c r="C32" s="10" t="s">
        <v>73</v>
      </c>
      <c r="D32" s="10" t="s">
        <v>74</v>
      </c>
      <c r="E32" t="s">
        <v>75</v>
      </c>
      <c r="G32" t="s">
        <v>123</v>
      </c>
      <c r="H32" t="s">
        <v>112</v>
      </c>
      <c r="I32" s="2">
        <f>SUM(I26:I29)</f>
        <v>925000</v>
      </c>
      <c r="J32" s="2"/>
      <c r="K32" s="2"/>
      <c r="L32" s="2"/>
      <c r="M32" s="2"/>
      <c r="N32" s="2"/>
      <c r="O32" s="2"/>
      <c r="P32" s="2">
        <f>P31</f>
        <v>716500</v>
      </c>
    </row>
    <row r="33" spans="1:19" x14ac:dyDescent="0.25">
      <c r="A33" t="s">
        <v>76</v>
      </c>
      <c r="B33">
        <v>95</v>
      </c>
      <c r="C33">
        <v>0.5</v>
      </c>
      <c r="D33" s="5">
        <f>Table79[[#This Row],[Količine(kom):]]*Table79[[#This Row],[Nabavna cijena:]]</f>
        <v>47.5</v>
      </c>
      <c r="E33" s="14">
        <f>Table79[[#This Row],[Dnevni trošak  materijala]]*365</f>
        <v>17337.5</v>
      </c>
      <c r="G33" t="s">
        <v>124</v>
      </c>
      <c r="H33" t="s">
        <v>113</v>
      </c>
      <c r="I33" s="2">
        <v>1344</v>
      </c>
      <c r="J33" s="2"/>
      <c r="K33" s="2"/>
      <c r="L33" s="2"/>
      <c r="M33" s="2"/>
      <c r="N33" s="2"/>
      <c r="O33" s="2"/>
      <c r="P33" s="2">
        <f>I33</f>
        <v>1344</v>
      </c>
    </row>
    <row r="34" spans="1:19" x14ac:dyDescent="0.25">
      <c r="A34" t="s">
        <v>77</v>
      </c>
      <c r="B34">
        <v>4</v>
      </c>
      <c r="C34">
        <v>8</v>
      </c>
      <c r="D34" s="5">
        <f>Table79[[#This Row],[Količine(kom):]]*Table79[[#This Row],[Nabavna cijena:]]</f>
        <v>32</v>
      </c>
      <c r="E34" s="2">
        <f>Table79[[#This Row],[Dnevni trošak  materijala]]*365</f>
        <v>11680</v>
      </c>
      <c r="G34" t="s">
        <v>125</v>
      </c>
      <c r="H34" t="s">
        <v>37</v>
      </c>
      <c r="I34" s="2">
        <f>SUM(I32:I33)</f>
        <v>926344</v>
      </c>
      <c r="J34" s="2"/>
      <c r="K34" s="2"/>
      <c r="L34" s="2"/>
      <c r="M34" s="2"/>
      <c r="N34" s="2"/>
      <c r="O34" s="2"/>
      <c r="P34" s="2">
        <f>SUM(P32:P33)</f>
        <v>717844</v>
      </c>
    </row>
    <row r="35" spans="1:19" x14ac:dyDescent="0.25">
      <c r="A35" t="s">
        <v>78</v>
      </c>
      <c r="B35">
        <v>6</v>
      </c>
      <c r="C35">
        <v>5</v>
      </c>
      <c r="D35" s="5">
        <f>Table79[[#This Row],[Količine(kom):]]*Table79[[#This Row],[Nabavna cijena:]]</f>
        <v>30</v>
      </c>
      <c r="E35" s="2">
        <f>Table79[[#This Row],[Dnevni trošak  materijala]]*365</f>
        <v>10950</v>
      </c>
    </row>
    <row r="36" spans="1:19" x14ac:dyDescent="0.25">
      <c r="A36" t="s">
        <v>79</v>
      </c>
      <c r="B36">
        <v>50</v>
      </c>
      <c r="C36">
        <v>20</v>
      </c>
      <c r="D36" s="2">
        <f>Table79[[#This Row],[Količine(kom):]]*Table79[[#This Row],[Nabavna cijena:]]</f>
        <v>1000</v>
      </c>
      <c r="E36" s="2">
        <f>Table79[[#This Row],[Dnevni trošak  materijala]]*365</f>
        <v>365000</v>
      </c>
    </row>
    <row r="37" spans="1:19" x14ac:dyDescent="0.25">
      <c r="A37" t="s">
        <v>80</v>
      </c>
      <c r="B37">
        <v>30</v>
      </c>
      <c r="C37">
        <v>0.3</v>
      </c>
      <c r="D37" s="5">
        <f>Table79[[#This Row],[Količine(kom):]]*Table79[[#This Row],[Nabavna cijena:]]</f>
        <v>9</v>
      </c>
      <c r="E37" s="2">
        <f>Table79[[#This Row],[Dnevni trošak  materijala]]*365</f>
        <v>3285</v>
      </c>
      <c r="S37" s="10"/>
    </row>
    <row r="38" spans="1:19" x14ac:dyDescent="0.25">
      <c r="A38" t="s">
        <v>81</v>
      </c>
      <c r="B38">
        <v>55</v>
      </c>
      <c r="C38">
        <v>3</v>
      </c>
      <c r="D38" s="5">
        <f>Table79[[#This Row],[Količine(kom):]]*Table79[[#This Row],[Nabavna cijena:]]</f>
        <v>165</v>
      </c>
      <c r="E38" s="2">
        <f>Table79[[#This Row],[Dnevni trošak  materijala]]*365</f>
        <v>60225</v>
      </c>
    </row>
    <row r="39" spans="1:19" x14ac:dyDescent="0.25">
      <c r="A39" t="s">
        <v>82</v>
      </c>
      <c r="B39">
        <v>75</v>
      </c>
      <c r="C39">
        <v>3.5</v>
      </c>
      <c r="D39" s="5">
        <f>Table79[[#This Row],[Količine(kom):]]*Table79[[#This Row],[Nabavna cijena:]]</f>
        <v>262.5</v>
      </c>
      <c r="E39" s="14">
        <f>Table79[[#This Row],[Dnevni trošak  materijala]]*365</f>
        <v>95812.5</v>
      </c>
    </row>
    <row r="40" spans="1:19" ht="45" x14ac:dyDescent="0.25">
      <c r="A40" t="s">
        <v>83</v>
      </c>
      <c r="B40">
        <v>250</v>
      </c>
      <c r="C40">
        <v>0.8</v>
      </c>
      <c r="D40" s="5">
        <f>Table79[[#This Row],[Količine(kom):]]*Table79[[#This Row],[Nabavna cijena:]]</f>
        <v>200</v>
      </c>
      <c r="E40" s="2">
        <f>Table79[[#This Row],[Dnevni trošak  materijala]]*365</f>
        <v>73000</v>
      </c>
      <c r="G40" t="s">
        <v>71</v>
      </c>
      <c r="H40" t="s">
        <v>72</v>
      </c>
      <c r="I40" s="10" t="s">
        <v>73</v>
      </c>
      <c r="J40" s="10" t="s">
        <v>74</v>
      </c>
      <c r="K40" t="s">
        <v>75</v>
      </c>
      <c r="L40" s="67" t="s">
        <v>256</v>
      </c>
      <c r="M40" t="s">
        <v>224</v>
      </c>
      <c r="N40" s="67" t="s">
        <v>257</v>
      </c>
      <c r="O40" t="s">
        <v>225</v>
      </c>
      <c r="P40" s="67" t="s">
        <v>258</v>
      </c>
      <c r="Q40" t="s">
        <v>226</v>
      </c>
      <c r="R40" s="67" t="s">
        <v>259</v>
      </c>
      <c r="S40" t="s">
        <v>227</v>
      </c>
    </row>
    <row r="41" spans="1:19" x14ac:dyDescent="0.25">
      <c r="A41" s="1" t="s">
        <v>9</v>
      </c>
      <c r="B41">
        <f>SUM(B33:B40)</f>
        <v>565</v>
      </c>
      <c r="C41">
        <f>SUM(C33:C40)</f>
        <v>41.099999999999994</v>
      </c>
      <c r="D41" s="2">
        <f>SUM(D33:D40)</f>
        <v>1746</v>
      </c>
      <c r="E41" s="2">
        <f>SUM(E33:E40)</f>
        <v>637290</v>
      </c>
      <c r="G41" t="s">
        <v>76</v>
      </c>
      <c r="H41" s="2">
        <v>95</v>
      </c>
      <c r="I41" s="2">
        <v>0.5</v>
      </c>
      <c r="J41" s="2">
        <f>Table7928[[#This Row],[Količine(kom):]]*Table7928[[#This Row],[Nabavna cijena:]]</f>
        <v>47.5</v>
      </c>
      <c r="K41" s="2">
        <f>Table7928[[#This Row],[Dnevni trošak  materijala]]*365</f>
        <v>17337.5</v>
      </c>
      <c r="L41" s="2">
        <f>(Table7928[[#This Row],[Količine(kom):]]*20%)+Table7928[[#This Row],[Količine(kom):]]</f>
        <v>114</v>
      </c>
      <c r="M41" s="2">
        <f>(Table7928[[#This Row],[Nabavna cijena:]]*Table7928[[#This Row],[kol.02]])*365</f>
        <v>20805</v>
      </c>
      <c r="N41" s="2">
        <f>(Table7928[[#This Row],[kol.02]]*30%)+Table7928[[#This Row],[kol.02]]</f>
        <v>148.19999999999999</v>
      </c>
      <c r="O41" s="2">
        <f>Table7928[[#This Row],[Nabavna cijena:]]*Table7928[[#This Row],[kol.03]]*365</f>
        <v>27046.499999999996</v>
      </c>
      <c r="P41" s="2">
        <f>(Table7928[[#This Row],[kol.03]]*35%)+Table7928[[#This Row],[kol.03]]</f>
        <v>200.07</v>
      </c>
      <c r="Q41" s="2">
        <f>Table7928[[#This Row],[Nabavna cijena:]]*Table7928[[#This Row],[kol.04]]*365</f>
        <v>36512.775000000001</v>
      </c>
      <c r="R41" s="2">
        <f>(Table7928[[#This Row],[kol.04]]*40%)+Table7928[[#This Row],[kol.04]]</f>
        <v>280.09800000000001</v>
      </c>
      <c r="S41" s="2">
        <f>Table7928[[#This Row],[Nabavna cijena:]]*Table7928[[#This Row],[kol.05]]*365</f>
        <v>51117.885000000002</v>
      </c>
    </row>
    <row r="42" spans="1:19" x14ac:dyDescent="0.25">
      <c r="G42" t="s">
        <v>77</v>
      </c>
      <c r="H42" s="2">
        <v>4</v>
      </c>
      <c r="I42" s="2">
        <v>8</v>
      </c>
      <c r="J42" s="2">
        <f>Table7928[[#This Row],[Količine(kom):]]*Table7928[[#This Row],[Nabavna cijena:]]</f>
        <v>32</v>
      </c>
      <c r="K42" s="2">
        <f>Table7928[[#This Row],[Dnevni trošak  materijala]]*365</f>
        <v>11680</v>
      </c>
      <c r="L42" s="2">
        <f>(Table7928[[#This Row],[Količine(kom):]]*20%)+Table7928[[#This Row],[Količine(kom):]]</f>
        <v>4.8</v>
      </c>
      <c r="M42" s="2">
        <f>Table7928[[#This Row],[Nabavna cijena:]]*Table7928[[#This Row],[kol.02]]*365</f>
        <v>14016</v>
      </c>
      <c r="N42" s="2">
        <f>(Table7928[[#This Row],[kol.02]]*30%)+Table7928[[#This Row],[kol.02]]</f>
        <v>6.24</v>
      </c>
      <c r="O42" s="2">
        <f>Table7928[[#This Row],[Nabavna cijena:]]*Table7928[[#This Row],[kol.03]]*365</f>
        <v>18220.8</v>
      </c>
      <c r="P42" s="2">
        <f>(Table7928[[#This Row],[kol.03]]*35%)+Table7928[[#This Row],[kol.03]]</f>
        <v>8.4239999999999995</v>
      </c>
      <c r="Q42" s="2">
        <f>Table7928[[#This Row],[Nabavna cijena:]]*Table7928[[#This Row],[kol.04]]*365</f>
        <v>24598.079999999998</v>
      </c>
      <c r="R42" s="2">
        <f>(Table7928[[#This Row],[kol.04]]*40%)+Table7928[[#This Row],[kol.04]]</f>
        <v>11.7936</v>
      </c>
      <c r="S42" s="2">
        <f>Table7928[[#This Row],[Nabavna cijena:]]*Table7928[[#This Row],[kol.05]]*365</f>
        <v>34437.311999999998</v>
      </c>
    </row>
    <row r="43" spans="1:19" x14ac:dyDescent="0.25">
      <c r="A43" t="s">
        <v>84</v>
      </c>
      <c r="B43" t="s">
        <v>85</v>
      </c>
      <c r="C43" t="s">
        <v>86</v>
      </c>
      <c r="G43" t="s">
        <v>78</v>
      </c>
      <c r="H43" s="2">
        <v>6</v>
      </c>
      <c r="I43" s="2">
        <v>5</v>
      </c>
      <c r="J43" s="2">
        <f>Table7928[[#This Row],[Količine(kom):]]*Table7928[[#This Row],[Nabavna cijena:]]</f>
        <v>30</v>
      </c>
      <c r="K43" s="2">
        <f>Table7928[[#This Row],[Dnevni trošak  materijala]]*365</f>
        <v>10950</v>
      </c>
      <c r="L43" s="2">
        <f>(Table7928[[#This Row],[Količine(kom):]]*20%)+Table7928[[#This Row],[Količine(kom):]]</f>
        <v>7.2</v>
      </c>
      <c r="M43" s="2">
        <f>Table7928[[#This Row],[Nabavna cijena:]]*Table7928[[#This Row],[kol.02]]*365</f>
        <v>13140</v>
      </c>
      <c r="N43" s="2">
        <f>(Table7928[[#This Row],[kol.02]]*30%)+Table7928[[#This Row],[kol.02]]</f>
        <v>9.36</v>
      </c>
      <c r="O43" s="2">
        <f>Table7928[[#This Row],[Nabavna cijena:]]*Table7928[[#This Row],[kol.03]]*365</f>
        <v>17082</v>
      </c>
      <c r="P43" s="2">
        <f>(Table7928[[#This Row],[kol.03]]*35%)+Table7928[[#This Row],[kol.03]]</f>
        <v>12.635999999999999</v>
      </c>
      <c r="Q43" s="2">
        <f>Table7928[[#This Row],[Nabavna cijena:]]*Table7928[[#This Row],[kol.04]]*365</f>
        <v>23060.699999999997</v>
      </c>
      <c r="R43" s="2">
        <f>(Table7928[[#This Row],[kol.04]]*40%)+Table7928[[#This Row],[kol.04]]</f>
        <v>17.6904</v>
      </c>
      <c r="S43" s="2">
        <f>Table7928[[#This Row],[Nabavna cijena:]]*Table7928[[#This Row],[kol.05]]*365</f>
        <v>32284.98</v>
      </c>
    </row>
    <row r="44" spans="1:19" x14ac:dyDescent="0.25">
      <c r="A44" s="1" t="s">
        <v>87</v>
      </c>
      <c r="B44" s="2">
        <v>1500</v>
      </c>
      <c r="C44" s="2">
        <f>Table3[[#This Row],[Mjesečno u kn]]*12</f>
        <v>18000</v>
      </c>
      <c r="G44" t="s">
        <v>79</v>
      </c>
      <c r="H44" s="2">
        <v>50</v>
      </c>
      <c r="I44" s="2">
        <v>20</v>
      </c>
      <c r="J44" s="2">
        <f>Table7928[[#This Row],[Količine(kom):]]*Table7928[[#This Row],[Nabavna cijena:]]</f>
        <v>1000</v>
      </c>
      <c r="K44" s="2">
        <f>Table7928[[#This Row],[Dnevni trošak  materijala]]*365</f>
        <v>365000</v>
      </c>
      <c r="L44" s="2">
        <f>(Table7928[[#This Row],[Količine(kom):]]*20%)+Table7928[[#This Row],[Količine(kom):]]</f>
        <v>60</v>
      </c>
      <c r="M44" s="2">
        <f>Table7928[[#This Row],[Nabavna cijena:]]*Table7928[[#This Row],[kol.02]]*365</f>
        <v>438000</v>
      </c>
      <c r="N44" s="2">
        <f>(Table7928[[#This Row],[kol.02]]*30%)+Table7928[[#This Row],[kol.02]]</f>
        <v>78</v>
      </c>
      <c r="O44" s="2">
        <f>Table7928[[#This Row],[Nabavna cijena:]]*Table7928[[#This Row],[kol.03]]*365</f>
        <v>569400</v>
      </c>
      <c r="P44" s="2">
        <f>(Table7928[[#This Row],[kol.03]]*35%)+Table7928[[#This Row],[kol.03]]</f>
        <v>105.3</v>
      </c>
      <c r="Q44" s="2">
        <f>Table7928[[#This Row],[Nabavna cijena:]]*Table7928[[#This Row],[kol.04]]*365</f>
        <v>768690</v>
      </c>
      <c r="R44" s="2">
        <f>(Table7928[[#This Row],[kol.04]]*40%)+Table7928[[#This Row],[kol.04]]</f>
        <v>147.42000000000002</v>
      </c>
      <c r="S44" s="2">
        <f>Table7928[[#This Row],[Nabavna cijena:]]*Table7928[[#This Row],[kol.05]]*365</f>
        <v>1076166.0000000002</v>
      </c>
    </row>
    <row r="45" spans="1:19" x14ac:dyDescent="0.25">
      <c r="A45" s="1" t="s">
        <v>88</v>
      </c>
      <c r="B45" s="2">
        <v>2800</v>
      </c>
      <c r="C45" s="2">
        <f>Table3[[#This Row],[Mjesečno u kn]]*12</f>
        <v>33600</v>
      </c>
      <c r="G45" t="s">
        <v>80</v>
      </c>
      <c r="H45" s="2">
        <v>30</v>
      </c>
      <c r="I45" s="2">
        <v>0.3</v>
      </c>
      <c r="J45" s="2">
        <f>Table7928[[#This Row],[Količine(kom):]]*Table7928[[#This Row],[Nabavna cijena:]]</f>
        <v>9</v>
      </c>
      <c r="K45" s="2">
        <f>Table7928[[#This Row],[Dnevni trošak  materijala]]*365</f>
        <v>3285</v>
      </c>
      <c r="L45" s="2">
        <f>(Table7928[[#This Row],[Količine(kom):]]*20%)+Table7928[[#This Row],[Količine(kom):]]</f>
        <v>36</v>
      </c>
      <c r="M45" s="2">
        <f>Table7928[[#This Row],[Nabavna cijena:]]*Table7928[[#This Row],[kol.02]]*365</f>
        <v>3941.9999999999995</v>
      </c>
      <c r="N45" s="2">
        <f>(Table7928[[#This Row],[kol.02]]*30%)+Table7928[[#This Row],[kol.02]]</f>
        <v>46.8</v>
      </c>
      <c r="O45" s="2">
        <f>Table7928[[#This Row],[Nabavna cijena:]]*Table7928[[#This Row],[kol.03]]*365</f>
        <v>5124.5999999999995</v>
      </c>
      <c r="P45" s="2">
        <f>(Table7928[[#This Row],[kol.03]]*35%)+Table7928[[#This Row],[kol.03]]</f>
        <v>63.179999999999993</v>
      </c>
      <c r="Q45" s="2">
        <f>Table7928[[#This Row],[Nabavna cijena:]]*Table7928[[#This Row],[kol.04]]*365</f>
        <v>6918.2099999999991</v>
      </c>
      <c r="R45" s="2">
        <f>(Table7928[[#This Row],[kol.04]]*40%)+Table7928[[#This Row],[kol.04]]</f>
        <v>88.451999999999998</v>
      </c>
      <c r="S45" s="2">
        <f>Table7928[[#This Row],[Nabavna cijena:]]*Table7928[[#This Row],[kol.05]]*365</f>
        <v>9685.4939999999988</v>
      </c>
    </row>
    <row r="46" spans="1:19" x14ac:dyDescent="0.25">
      <c r="A46" t="s">
        <v>89</v>
      </c>
      <c r="B46" s="2">
        <v>3500</v>
      </c>
      <c r="C46" s="2">
        <f>Table3[[#This Row],[Mjesečno u kn]]*12</f>
        <v>42000</v>
      </c>
      <c r="G46" t="s">
        <v>81</v>
      </c>
      <c r="H46" s="2">
        <v>55</v>
      </c>
      <c r="I46" s="2">
        <v>3</v>
      </c>
      <c r="J46" s="2">
        <f>Table7928[[#This Row],[Količine(kom):]]*Table7928[[#This Row],[Nabavna cijena:]]</f>
        <v>165</v>
      </c>
      <c r="K46" s="2">
        <f>Table7928[[#This Row],[Dnevni trošak  materijala]]*365</f>
        <v>60225</v>
      </c>
      <c r="L46" s="2">
        <f>(Table7928[[#This Row],[Količine(kom):]]*20%)+Table7928[[#This Row],[Količine(kom):]]</f>
        <v>66</v>
      </c>
      <c r="M46" s="2">
        <f>Table7928[[#This Row],[Nabavna cijena:]]*Table7928[[#This Row],[kol.02]]*365</f>
        <v>72270</v>
      </c>
      <c r="N46" s="2">
        <f>(Table7928[[#This Row],[kol.02]]*30%)+Table7928[[#This Row],[kol.02]]</f>
        <v>85.8</v>
      </c>
      <c r="O46" s="2">
        <f>Table7928[[#This Row],[Nabavna cijena:]]*Table7928[[#This Row],[kol.03]]*365</f>
        <v>93950.999999999985</v>
      </c>
      <c r="P46" s="2">
        <f>(Table7928[[#This Row],[kol.03]]*35%)+Table7928[[#This Row],[kol.03]]</f>
        <v>115.83</v>
      </c>
      <c r="Q46" s="2">
        <f>Table7928[[#This Row],[Nabavna cijena:]]*Table7928[[#This Row],[kol.04]]*365</f>
        <v>126833.85</v>
      </c>
      <c r="R46" s="2">
        <f>(Table7928[[#This Row],[kol.04]]*40%)+Table7928[[#This Row],[kol.04]]</f>
        <v>162.16200000000001</v>
      </c>
      <c r="S46" s="2">
        <f>Table7928[[#This Row],[Nabavna cijena:]]*Table7928[[#This Row],[kol.05]]*365</f>
        <v>177567.38999999998</v>
      </c>
    </row>
    <row r="47" spans="1:19" x14ac:dyDescent="0.25">
      <c r="A47" t="s">
        <v>90</v>
      </c>
      <c r="B47" s="2">
        <v>150</v>
      </c>
      <c r="C47" s="2">
        <f>Table3[[#This Row],[Mjesečno u kn]]*12</f>
        <v>1800</v>
      </c>
      <c r="G47" t="s">
        <v>82</v>
      </c>
      <c r="H47" s="2">
        <v>75</v>
      </c>
      <c r="I47" s="2">
        <v>3.5</v>
      </c>
      <c r="J47" s="2">
        <f>Table7928[[#This Row],[Količine(kom):]]*Table7928[[#This Row],[Nabavna cijena:]]</f>
        <v>262.5</v>
      </c>
      <c r="K47" s="2">
        <f>Table7928[[#This Row],[Dnevni trošak  materijala]]*365</f>
        <v>95812.5</v>
      </c>
      <c r="L47" s="2">
        <f>(Table7928[[#This Row],[Količine(kom):]]*20%)+Table7928[[#This Row],[Količine(kom):]]</f>
        <v>90</v>
      </c>
      <c r="M47" s="2">
        <f>Table7928[[#This Row],[Nabavna cijena:]]*Table7928[[#This Row],[kol.02]]*365</f>
        <v>114975</v>
      </c>
      <c r="N47" s="2">
        <f>(Table7928[[#This Row],[kol.02]]*30%)+Table7928[[#This Row],[kol.02]]</f>
        <v>117</v>
      </c>
      <c r="O47" s="2">
        <f>Table7928[[#This Row],[Nabavna cijena:]]*Table7928[[#This Row],[kol.03]]*365</f>
        <v>149467.5</v>
      </c>
      <c r="P47" s="2">
        <f>(Table7928[[#This Row],[kol.03]]*35%)+Table7928[[#This Row],[kol.03]]</f>
        <v>157.94999999999999</v>
      </c>
      <c r="Q47" s="2">
        <f>Table7928[[#This Row],[Nabavna cijena:]]*Table7928[[#This Row],[kol.04]]*365</f>
        <v>201781.12499999997</v>
      </c>
      <c r="R47" s="2">
        <f>(Table7928[[#This Row],[kol.04]]*40%)+Table7928[[#This Row],[kol.04]]</f>
        <v>221.13</v>
      </c>
      <c r="S47" s="2">
        <f>Table7928[[#This Row],[Nabavna cijena:]]*Table7928[[#This Row],[kol.05]]*365</f>
        <v>282493.57499999995</v>
      </c>
    </row>
    <row r="48" spans="1:19" x14ac:dyDescent="0.25">
      <c r="A48" s="1" t="s">
        <v>37</v>
      </c>
      <c r="B48" s="7">
        <f>SUM(B44:B47)</f>
        <v>7950</v>
      </c>
      <c r="C48" s="2">
        <f>SUM(C44:C47)</f>
        <v>95400</v>
      </c>
      <c r="G48" t="s">
        <v>83</v>
      </c>
      <c r="H48" s="2">
        <v>250</v>
      </c>
      <c r="I48" s="2">
        <v>0.8</v>
      </c>
      <c r="J48" s="2">
        <f>Table7928[[#This Row],[Količine(kom):]]*Table7928[[#This Row],[Nabavna cijena:]]</f>
        <v>200</v>
      </c>
      <c r="K48" s="2">
        <f>Table7928[[#This Row],[Dnevni trošak  materijala]]*365</f>
        <v>73000</v>
      </c>
      <c r="L48" s="2">
        <f>(Table7928[[#This Row],[Količine(kom):]]*20%)+Table7928[[#This Row],[Količine(kom):]]</f>
        <v>300</v>
      </c>
      <c r="M48" s="2">
        <f>Table7928[[#This Row],[Nabavna cijena:]]*Table7928[[#This Row],[kol.02]]*365</f>
        <v>87600</v>
      </c>
      <c r="N48" s="2">
        <f>(Table7928[[#This Row],[kol.02]]*30%)+Table7928[[#This Row],[kol.02]]</f>
        <v>390</v>
      </c>
      <c r="O48" s="2">
        <f>Table7928[[#This Row],[Nabavna cijena:]]*Table7928[[#This Row],[kol.03]]*365</f>
        <v>113880</v>
      </c>
      <c r="P48" s="2">
        <f>(Table7928[[#This Row],[kol.03]]*35%)+Table7928[[#This Row],[kol.03]]</f>
        <v>526.5</v>
      </c>
      <c r="Q48" s="2">
        <f>Table7928[[#This Row],[Nabavna cijena:]]*Table7928[[#This Row],[kol.04]]*365</f>
        <v>153738.00000000003</v>
      </c>
      <c r="R48" s="2">
        <f>(Table7928[[#This Row],[kol.04]]*40%)+Table7928[[#This Row],[kol.04]]</f>
        <v>737.1</v>
      </c>
      <c r="S48" s="2">
        <f>Table7928[[#This Row],[Nabavna cijena:]]*Table7928[[#This Row],[kol.05]]*365</f>
        <v>215233.2</v>
      </c>
    </row>
    <row r="49" spans="1:19" x14ac:dyDescent="0.25">
      <c r="G49" s="1" t="s">
        <v>9</v>
      </c>
      <c r="H49" s="2">
        <f>SUM(H41:H48)</f>
        <v>565</v>
      </c>
      <c r="I49" s="2">
        <f>SUM(I41:I48)</f>
        <v>41.099999999999994</v>
      </c>
      <c r="J49" s="2">
        <f>SUM(J41:J48)</f>
        <v>1746</v>
      </c>
      <c r="K49" s="2">
        <f>Table7928[[#This Row],[Dnevni trošak  materijala]]*365</f>
        <v>637290</v>
      </c>
      <c r="L49" s="2">
        <f>(Table7928[[#This Row],[Količine(kom):]]*20%)+Table7928[[#This Row],[Količine(kom):]]</f>
        <v>678</v>
      </c>
      <c r="M49" s="2">
        <f>SUM(M41:M48)</f>
        <v>764748</v>
      </c>
      <c r="N49" s="2">
        <f>(Table7928[[#This Row],[kol.02]]*30%)+Table7928[[#This Row],[kol.02]]</f>
        <v>881.4</v>
      </c>
      <c r="O49" s="2">
        <f>SUM(O41:O48)</f>
        <v>994172.4</v>
      </c>
      <c r="P49" s="2">
        <f>(Table7928[[#This Row],[kol.03]]*35%)+Table7928[[#This Row],[kol.03]]</f>
        <v>1189.8899999999999</v>
      </c>
      <c r="Q49" s="2">
        <f>SUM(Q41:Q48)</f>
        <v>1342132.7399999998</v>
      </c>
      <c r="R49" s="2">
        <f>(Table7928[[#This Row],[kol.04]]*40%)+Table7928[[#This Row],[kol.04]]</f>
        <v>1665.8459999999998</v>
      </c>
      <c r="S49" s="2">
        <f>SUM(S41:S48)</f>
        <v>1878985.8359999999</v>
      </c>
    </row>
    <row r="50" spans="1:19" x14ac:dyDescent="0.25">
      <c r="A50" t="s">
        <v>91</v>
      </c>
      <c r="B50" t="s">
        <v>92</v>
      </c>
    </row>
    <row r="51" spans="1:19" x14ac:dyDescent="0.25">
      <c r="A51" s="1" t="s">
        <v>30</v>
      </c>
      <c r="B51" s="2">
        <v>1000</v>
      </c>
    </row>
    <row r="52" spans="1:19" ht="30" x14ac:dyDescent="0.25">
      <c r="A52" s="1" t="s">
        <v>31</v>
      </c>
      <c r="B52" s="2">
        <f>B51*12</f>
        <v>12000</v>
      </c>
      <c r="G52" s="10" t="s">
        <v>58</v>
      </c>
      <c r="H52" s="10" t="s">
        <v>59</v>
      </c>
      <c r="I52" s="10" t="s">
        <v>60</v>
      </c>
      <c r="J52" s="10" t="s">
        <v>61</v>
      </c>
      <c r="K52" s="10" t="s">
        <v>62</v>
      </c>
      <c r="L52" s="68" t="s">
        <v>256</v>
      </c>
      <c r="M52" s="10" t="s">
        <v>224</v>
      </c>
      <c r="N52" s="68" t="s">
        <v>257</v>
      </c>
      <c r="O52" s="10" t="s">
        <v>225</v>
      </c>
      <c r="P52" s="68" t="s">
        <v>258</v>
      </c>
      <c r="Q52" s="10" t="s">
        <v>226</v>
      </c>
      <c r="R52" s="68" t="s">
        <v>259</v>
      </c>
      <c r="S52" s="10" t="s">
        <v>227</v>
      </c>
    </row>
    <row r="53" spans="1:19" x14ac:dyDescent="0.25">
      <c r="G53" s="1" t="s">
        <v>63</v>
      </c>
      <c r="H53" s="7">
        <v>45</v>
      </c>
      <c r="I53" s="2">
        <v>26</v>
      </c>
      <c r="J53" s="2">
        <f>Table5229[[#This Row],[Količine]]*Table5229[[#This Row],[Prodajna cijena]]</f>
        <v>1170</v>
      </c>
      <c r="K53" s="2">
        <f>Table5229[[#This Row],[Dnevni prihod]]*365</f>
        <v>427050</v>
      </c>
      <c r="L53" s="2">
        <v>20777</v>
      </c>
      <c r="M53" s="2">
        <f>Table5229[[#This Row],[Prodajna cijena]]*Table5229[[#This Row],[kol.02]]</f>
        <v>540202</v>
      </c>
      <c r="N53" s="2">
        <v>28111</v>
      </c>
      <c r="O53" s="2">
        <f>Table5229[[#This Row],[Prodajna cijena]]*Table5229[[#This Row],[kol.03]]</f>
        <v>730886</v>
      </c>
      <c r="P53" s="2">
        <v>42000</v>
      </c>
      <c r="Q53" s="2">
        <f>Table5229[[#This Row],[kol.04]]*Table5229[[#This Row],[Prodajna cijena]]</f>
        <v>1092000</v>
      </c>
      <c r="R53" s="2">
        <v>70976</v>
      </c>
      <c r="S53" s="2">
        <f>Table5229[[#This Row],[kol.05]]*Table5229[[#This Row],[Prodajna cijena]]</f>
        <v>1845376</v>
      </c>
    </row>
    <row r="54" spans="1:19" x14ac:dyDescent="0.25">
      <c r="G54" t="s">
        <v>64</v>
      </c>
      <c r="H54" s="2">
        <v>62</v>
      </c>
      <c r="I54" s="2">
        <v>8</v>
      </c>
      <c r="J54" s="2">
        <f>Table5229[[#This Row],[Količine]]*Table5229[[#This Row],[Prodajna cijena]]</f>
        <v>496</v>
      </c>
      <c r="K54" s="2">
        <f>Table5229[[#This Row],[Dnevni prihod]]*365</f>
        <v>181040</v>
      </c>
      <c r="L54" s="2">
        <v>22700</v>
      </c>
      <c r="M54" s="2">
        <f>Table5229[[#This Row],[Prodajna cijena]]*Table5229[[#This Row],[kol.02]]</f>
        <v>181600</v>
      </c>
      <c r="N54" s="2">
        <v>25234</v>
      </c>
      <c r="O54" s="2">
        <f>Table5229[[#This Row],[Prodajna cijena]]*Table5229[[#This Row],[kol.03]]</f>
        <v>201872</v>
      </c>
      <c r="P54" s="2">
        <v>27998</v>
      </c>
      <c r="Q54" s="2">
        <f>Table5229[[#This Row],[kol.04]]*Table5229[[#This Row],[Prodajna cijena]]</f>
        <v>223984</v>
      </c>
      <c r="R54" s="2">
        <v>28739</v>
      </c>
      <c r="S54" s="2">
        <f>Table5229[[#This Row],[kol.05]]*Table5229[[#This Row],[Prodajna cijena]]</f>
        <v>229912</v>
      </c>
    </row>
    <row r="55" spans="1:19" x14ac:dyDescent="0.25">
      <c r="G55" t="s">
        <v>65</v>
      </c>
      <c r="H55" s="2">
        <v>65</v>
      </c>
      <c r="I55" s="2">
        <v>10</v>
      </c>
      <c r="J55" s="2">
        <f>Table5229[[#This Row],[Količine]]*Table5229[[#This Row],[Prodajna cijena]]</f>
        <v>650</v>
      </c>
      <c r="K55" s="2">
        <f>Table5229[[#This Row],[Dnevni prihod]]*365</f>
        <v>237250</v>
      </c>
      <c r="L55" s="2">
        <v>23899</v>
      </c>
      <c r="M55" s="2">
        <f>Table5229[[#This Row],[Prodajna cijena]]*Table5229[[#This Row],[kol.02]]</f>
        <v>238990</v>
      </c>
      <c r="N55" s="2">
        <v>27245</v>
      </c>
      <c r="O55" s="2">
        <f>Table5229[[#This Row],[Prodajna cijena]]*Table5229[[#This Row],[kol.03]]</f>
        <v>272450</v>
      </c>
      <c r="P55" s="2">
        <v>32098</v>
      </c>
      <c r="Q55" s="2">
        <f>Table5229[[#This Row],[kol.04]]*Table5229[[#This Row],[Prodajna cijena]]</f>
        <v>320980</v>
      </c>
      <c r="R55" s="2">
        <v>38811</v>
      </c>
      <c r="S55" s="2">
        <f>Table5229[[#This Row],[kol.05]]*Table5229[[#This Row],[Prodajna cijena]]</f>
        <v>388110</v>
      </c>
    </row>
    <row r="56" spans="1:19" x14ac:dyDescent="0.25">
      <c r="G56" s="1" t="s">
        <v>66</v>
      </c>
      <c r="H56" s="7">
        <v>31</v>
      </c>
      <c r="I56" s="2">
        <v>12</v>
      </c>
      <c r="J56" s="2">
        <f>Table5229[[#This Row],[Količine]]*Table5229[[#This Row],[Prodajna cijena]]</f>
        <v>372</v>
      </c>
      <c r="K56" s="2">
        <f>Table5229[[#This Row],[Dnevni prihod]]*365</f>
        <v>135780</v>
      </c>
      <c r="L56" s="2">
        <v>13001</v>
      </c>
      <c r="M56" s="2">
        <f>Table5229[[#This Row],[Prodajna cijena]]*Table5229[[#This Row],[kol.02]]</f>
        <v>156012</v>
      </c>
      <c r="N56" s="2">
        <v>18280</v>
      </c>
      <c r="O56" s="2">
        <f>Table5229[[#This Row],[Prodajna cijena]]*Table5229[[#This Row],[kol.03]]</f>
        <v>219360</v>
      </c>
      <c r="P56" s="2">
        <v>24109</v>
      </c>
      <c r="Q56" s="2">
        <f>Table5229[[#This Row],[kol.04]]*Table5229[[#This Row],[Prodajna cijena]]</f>
        <v>289308</v>
      </c>
      <c r="R56" s="2">
        <v>26176</v>
      </c>
      <c r="S56" s="2">
        <f>Table5229[[#This Row],[kol.05]]*Table5229[[#This Row],[Prodajna cijena]]</f>
        <v>314112</v>
      </c>
    </row>
    <row r="57" spans="1:19" ht="45" x14ac:dyDescent="0.25">
      <c r="G57" s="17" t="s">
        <v>67</v>
      </c>
      <c r="H57" s="7">
        <v>42</v>
      </c>
      <c r="I57" s="2">
        <v>35</v>
      </c>
      <c r="J57" s="2">
        <f>Table5229[[#This Row],[Količine]]*Table5229[[#This Row],[Prodajna cijena]]</f>
        <v>1470</v>
      </c>
      <c r="K57" s="2">
        <f>Table5229[[#This Row],[Dnevni prihod]]*365</f>
        <v>536550</v>
      </c>
      <c r="L57" s="51">
        <v>20422</v>
      </c>
      <c r="M57" s="2">
        <f>Table5229[[#This Row],[Prodajna cijena]]*Table5229[[#This Row],[kol.02]]</f>
        <v>714770</v>
      </c>
      <c r="N57" s="51">
        <v>28789</v>
      </c>
      <c r="O57" s="2">
        <f>Table5229[[#This Row],[Prodajna cijena]]*Table5229[[#This Row],[kol.03]]</f>
        <v>1007615</v>
      </c>
      <c r="P57" s="51">
        <v>40654</v>
      </c>
      <c r="Q57" s="2">
        <f>Table5229[[#This Row],[kol.04]]*Table5229[[#This Row],[Prodajna cijena]]</f>
        <v>1422890</v>
      </c>
      <c r="R57" s="51">
        <v>55399</v>
      </c>
      <c r="S57" s="2">
        <f>Table5229[[#This Row],[kol.05]]*Table5229[[#This Row],[Prodajna cijena]]</f>
        <v>1938965</v>
      </c>
    </row>
    <row r="58" spans="1:19" x14ac:dyDescent="0.25">
      <c r="G58" t="s">
        <v>68</v>
      </c>
      <c r="H58" s="2">
        <v>62</v>
      </c>
      <c r="I58" s="2">
        <v>16</v>
      </c>
      <c r="J58" s="2">
        <f>Table5229[[#This Row],[Količine]]*Table5229[[#This Row],[Prodajna cijena]]</f>
        <v>992</v>
      </c>
      <c r="K58" s="2">
        <f>Table5229[[#This Row],[Dnevni prihod]]*365</f>
        <v>362080</v>
      </c>
      <c r="L58" s="55">
        <v>25110</v>
      </c>
      <c r="M58" s="2">
        <f>Table5229[[#This Row],[Prodajna cijena]]*Table5229[[#This Row],[kol.02]]</f>
        <v>401760</v>
      </c>
      <c r="N58" s="55">
        <v>26000</v>
      </c>
      <c r="O58" s="2">
        <f>Table5229[[#This Row],[Prodajna cijena]]*Table5229[[#This Row],[kol.03]]</f>
        <v>416000</v>
      </c>
      <c r="P58" s="55">
        <v>27000</v>
      </c>
      <c r="Q58" s="2">
        <f>Table5229[[#This Row],[kol.04]]*Table5229[[#This Row],[Prodajna cijena]]</f>
        <v>432000</v>
      </c>
      <c r="R58" s="55">
        <v>30754</v>
      </c>
      <c r="S58" s="2">
        <f>Table5229[[#This Row],[kol.05]]*Table5229[[#This Row],[Prodajna cijena]]</f>
        <v>492064</v>
      </c>
    </row>
    <row r="59" spans="1:19" x14ac:dyDescent="0.25">
      <c r="G59" s="1" t="s">
        <v>69</v>
      </c>
      <c r="H59" s="7">
        <f t="shared" ref="H59:M59" si="3">SUM(H53:H58)</f>
        <v>307</v>
      </c>
      <c r="I59" s="7">
        <f t="shared" si="3"/>
        <v>107</v>
      </c>
      <c r="J59" s="7">
        <f t="shared" si="3"/>
        <v>5150</v>
      </c>
      <c r="K59" s="7">
        <f t="shared" si="3"/>
        <v>1879750</v>
      </c>
      <c r="L59" s="2">
        <f t="shared" si="3"/>
        <v>125909</v>
      </c>
      <c r="M59" s="2">
        <f t="shared" si="3"/>
        <v>2233334</v>
      </c>
      <c r="N59" s="2">
        <f t="shared" ref="N59:S59" si="4">SUM(N53:N58)</f>
        <v>153659</v>
      </c>
      <c r="O59" s="2">
        <f t="shared" si="4"/>
        <v>2848183</v>
      </c>
      <c r="P59" s="2">
        <f t="shared" si="4"/>
        <v>193859</v>
      </c>
      <c r="Q59" s="2">
        <f t="shared" si="4"/>
        <v>3781162</v>
      </c>
      <c r="R59" s="2">
        <f t="shared" si="4"/>
        <v>250855</v>
      </c>
      <c r="S59" s="2">
        <f t="shared" si="4"/>
        <v>5208539</v>
      </c>
    </row>
  </sheetData>
  <mergeCells count="4">
    <mergeCell ref="G1:H1"/>
    <mergeCell ref="A31:E31"/>
    <mergeCell ref="A21:E21"/>
    <mergeCell ref="G21:P21"/>
  </mergeCells>
  <pageMargins left="0.7" right="0.7" top="0.75" bottom="0.75" header="0.3" footer="0.3"/>
  <tableParts count="10">
    <tablePart r:id="rId1"/>
    <tablePart r:id="rId2"/>
    <tablePart r:id="rId3"/>
    <tablePart r:id="rId4"/>
    <tablePart r:id="rId5"/>
    <tablePart r:id="rId6"/>
    <tablePart r:id="rId7"/>
    <tablePart r:id="rId8"/>
    <tablePart r:id="rId9"/>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topLeftCell="A35" workbookViewId="0">
      <selection activeCell="L28" sqref="L28"/>
    </sheetView>
  </sheetViews>
  <sheetFormatPr defaultRowHeight="15" x14ac:dyDescent="0.25"/>
  <cols>
    <col min="1" max="1" width="29" bestFit="1" customWidth="1"/>
    <col min="2" max="2" width="16.42578125" customWidth="1"/>
    <col min="3" max="6" width="11.7109375" bestFit="1" customWidth="1"/>
    <col min="7" max="7" width="15.140625" bestFit="1" customWidth="1"/>
    <col min="8" max="8" width="15.85546875" bestFit="1" customWidth="1"/>
    <col min="9" max="9" width="11" customWidth="1"/>
    <col min="10" max="10" width="10.7109375" customWidth="1"/>
    <col min="11" max="11" width="13" customWidth="1"/>
    <col min="13" max="13" width="11.7109375" customWidth="1"/>
    <col min="14" max="14" width="10.28515625" customWidth="1"/>
    <col min="15" max="15" width="15.140625" bestFit="1" customWidth="1"/>
  </cols>
  <sheetData>
    <row r="1" spans="1:13" x14ac:dyDescent="0.25">
      <c r="A1" s="254" t="s">
        <v>159</v>
      </c>
      <c r="B1" s="254"/>
      <c r="C1" s="254"/>
      <c r="D1" s="254"/>
      <c r="E1" s="254"/>
      <c r="F1" s="254"/>
    </row>
    <row r="2" spans="1:13" x14ac:dyDescent="0.25">
      <c r="A2" t="s">
        <v>39</v>
      </c>
      <c r="B2" t="s">
        <v>40</v>
      </c>
      <c r="C2" t="s">
        <v>41</v>
      </c>
      <c r="D2" t="s">
        <v>142</v>
      </c>
      <c r="E2" t="s">
        <v>143</v>
      </c>
      <c r="F2" t="s">
        <v>144</v>
      </c>
    </row>
    <row r="3" spans="1:13" x14ac:dyDescent="0.25">
      <c r="A3" t="s">
        <v>146</v>
      </c>
      <c r="B3" t="s">
        <v>19</v>
      </c>
      <c r="C3" t="s">
        <v>20</v>
      </c>
      <c r="D3" t="s">
        <v>21</v>
      </c>
      <c r="E3" t="s">
        <v>22</v>
      </c>
      <c r="F3" t="s">
        <v>23</v>
      </c>
    </row>
    <row r="4" spans="1:13" x14ac:dyDescent="0.25">
      <c r="A4" t="s">
        <v>147</v>
      </c>
      <c r="B4" s="4">
        <f>'Ulaganje,prihodi,rashodi'!K59</f>
        <v>1879750</v>
      </c>
      <c r="C4" s="4">
        <f>'Ulaganje,prihodi,rashodi'!M59</f>
        <v>2233334</v>
      </c>
      <c r="D4" s="4">
        <f>'Ulaganje,prihodi,rashodi'!O59</f>
        <v>2848183</v>
      </c>
      <c r="E4" s="4">
        <f>'Ulaganje,prihodi,rashodi'!Q59</f>
        <v>3781162</v>
      </c>
      <c r="F4" s="4">
        <f>'Ulaganje,prihodi,rashodi'!S59</f>
        <v>5208539</v>
      </c>
    </row>
    <row r="5" spans="1:13" x14ac:dyDescent="0.25">
      <c r="A5" t="s">
        <v>148</v>
      </c>
      <c r="B5" s="4">
        <f>SUM(B6:B9)</f>
        <v>1272690</v>
      </c>
      <c r="C5" s="4">
        <f>SUM(C6:C9)</f>
        <v>1400148</v>
      </c>
      <c r="D5" s="4">
        <f>SUM(D6:D9)</f>
        <v>1629572.4</v>
      </c>
      <c r="E5" s="4">
        <f>SUM(E6:E9)</f>
        <v>1977532.7399999998</v>
      </c>
      <c r="F5" s="4">
        <f>SUM(F6:F9)</f>
        <v>2514385.8360000001</v>
      </c>
    </row>
    <row r="6" spans="1:13" x14ac:dyDescent="0.25">
      <c r="A6" t="s">
        <v>149</v>
      </c>
      <c r="B6" s="4">
        <f>'Ulaganje,prihodi,rashodi'!K49</f>
        <v>637290</v>
      </c>
      <c r="C6" s="4">
        <f>'Ulaganje,prihodi,rashodi'!M49</f>
        <v>764748</v>
      </c>
      <c r="D6" s="4">
        <f>'Ulaganje,prihodi,rashodi'!O49</f>
        <v>994172.4</v>
      </c>
      <c r="E6" s="4">
        <f>'Ulaganje,prihodi,rashodi'!Q49</f>
        <v>1342132.7399999998</v>
      </c>
      <c r="F6" s="4">
        <f>'Ulaganje,prihodi,rashodi'!S49</f>
        <v>1878985.8359999999</v>
      </c>
    </row>
    <row r="7" spans="1:13" x14ac:dyDescent="0.25">
      <c r="A7" t="s">
        <v>150</v>
      </c>
      <c r="B7" s="4">
        <f>'Ulaganje,prihodi,rashodi'!C48</f>
        <v>95400</v>
      </c>
      <c r="C7" s="4">
        <v>95400</v>
      </c>
      <c r="D7" s="4">
        <v>95400</v>
      </c>
      <c r="E7" s="4">
        <v>95400</v>
      </c>
      <c r="F7" s="4">
        <v>95400</v>
      </c>
    </row>
    <row r="8" spans="1:13" x14ac:dyDescent="0.25">
      <c r="A8" t="s">
        <v>151</v>
      </c>
      <c r="B8" s="4">
        <f>'Ulaganje,prihodi,rashodi'!B52</f>
        <v>12000</v>
      </c>
      <c r="C8" s="4">
        <v>12000</v>
      </c>
      <c r="D8" s="4">
        <v>12000</v>
      </c>
      <c r="E8" s="4">
        <v>12000</v>
      </c>
      <c r="F8" s="4">
        <v>12000</v>
      </c>
    </row>
    <row r="9" spans="1:13" x14ac:dyDescent="0.25">
      <c r="A9" t="s">
        <v>152</v>
      </c>
      <c r="B9" s="4">
        <f>'Ulaganje,prihodi,rashodi'!D17</f>
        <v>528000</v>
      </c>
      <c r="C9" s="4">
        <v>528000</v>
      </c>
      <c r="D9" s="4">
        <v>528000</v>
      </c>
      <c r="E9" s="4">
        <v>528000</v>
      </c>
      <c r="F9" s="4">
        <v>528000</v>
      </c>
    </row>
    <row r="10" spans="1:13" x14ac:dyDescent="0.25">
      <c r="A10" t="s">
        <v>153</v>
      </c>
      <c r="B10" s="4">
        <f>B4-B5</f>
        <v>607060</v>
      </c>
      <c r="C10" s="4">
        <f>C4-C5</f>
        <v>833186</v>
      </c>
      <c r="D10" s="4">
        <f t="shared" ref="D10:F10" si="0">D4-D5</f>
        <v>1218610.6000000001</v>
      </c>
      <c r="E10" s="4">
        <f t="shared" si="0"/>
        <v>1803629.2600000002</v>
      </c>
      <c r="F10" s="4">
        <f t="shared" si="0"/>
        <v>2694153.1639999999</v>
      </c>
    </row>
    <row r="11" spans="1:13" x14ac:dyDescent="0.25">
      <c r="B11" s="4"/>
      <c r="C11" s="4"/>
      <c r="D11" s="4"/>
      <c r="E11" s="4"/>
      <c r="F11" s="4"/>
    </row>
    <row r="12" spans="1:13" x14ac:dyDescent="0.25">
      <c r="A12" t="s">
        <v>154</v>
      </c>
      <c r="B12" s="4">
        <f>'Ulaganje,prihodi,rashodi'!K30</f>
        <v>41700</v>
      </c>
      <c r="C12" s="4">
        <f>'Ulaganje,prihodi,rashodi'!L30</f>
        <v>41700</v>
      </c>
      <c r="D12" s="4">
        <f>'Ulaganje,prihodi,rashodi'!M30</f>
        <v>41700</v>
      </c>
      <c r="E12" s="4">
        <f>'Ulaganje,prihodi,rashodi'!N30</f>
        <v>41700</v>
      </c>
      <c r="F12" s="4">
        <f>'Ulaganje,prihodi,rashodi'!O30</f>
        <v>41700</v>
      </c>
    </row>
    <row r="13" spans="1:13" x14ac:dyDescent="0.25">
      <c r="A13" t="s">
        <v>155</v>
      </c>
      <c r="B13" s="4">
        <f>Otpl.kredita!I18</f>
        <v>13039.904347853542</v>
      </c>
      <c r="C13" s="4">
        <f>Otpl.kredita!I19</f>
        <v>10419.259154436095</v>
      </c>
      <c r="D13" s="4">
        <f>Otpl.kredita!I20</f>
        <v>7692.2052573786705</v>
      </c>
      <c r="E13" s="4">
        <f>Otpl.kredita!I21</f>
        <v>4854.4220366145873</v>
      </c>
      <c r="F13" s="4">
        <f>Otpl.kredita!I22</f>
        <v>1901.4134375767674</v>
      </c>
    </row>
    <row r="14" spans="1:13" x14ac:dyDescent="0.25">
      <c r="A14" t="s">
        <v>156</v>
      </c>
      <c r="B14" s="4">
        <f>B10-B12-B13</f>
        <v>552320.0956521465</v>
      </c>
      <c r="C14" s="4">
        <f>C10-C12-C13</f>
        <v>781066.74084556394</v>
      </c>
      <c r="D14" s="4">
        <f>D10-D12-D13</f>
        <v>1169218.3947426213</v>
      </c>
      <c r="E14" s="4">
        <f>E10-E12-E13</f>
        <v>1757074.8379633857</v>
      </c>
      <c r="F14" s="4">
        <f>F10-F12-F13</f>
        <v>2650551.7505624229</v>
      </c>
    </row>
    <row r="15" spans="1:13" x14ac:dyDescent="0.25">
      <c r="A15" t="s">
        <v>157</v>
      </c>
      <c r="B15" s="4">
        <f>B14*0.2</f>
        <v>110464.01913042931</v>
      </c>
      <c r="C15" s="4">
        <f>C14*0.2</f>
        <v>156213.34816911278</v>
      </c>
      <c r="D15" s="4">
        <f>D14*0.2</f>
        <v>233843.67894852429</v>
      </c>
      <c r="E15" s="4">
        <f>E14*0.2</f>
        <v>351414.96759267716</v>
      </c>
      <c r="F15" s="4">
        <f>F14*0.2</f>
        <v>530110.35011248465</v>
      </c>
    </row>
    <row r="16" spans="1:13" x14ac:dyDescent="0.25">
      <c r="A16" t="s">
        <v>158</v>
      </c>
      <c r="B16" s="4">
        <f>B14-B15</f>
        <v>441856.07652171719</v>
      </c>
      <c r="C16" s="4">
        <f>C14-C15</f>
        <v>624853.39267645113</v>
      </c>
      <c r="D16" s="4">
        <f>D14-D15</f>
        <v>935374.71579409705</v>
      </c>
      <c r="E16" s="4">
        <f>E14-E15</f>
        <v>1405659.8703707086</v>
      </c>
      <c r="F16" s="4">
        <f>F14-F15</f>
        <v>2120441.4004499381</v>
      </c>
      <c r="K16">
        <v>125000</v>
      </c>
      <c r="L16">
        <f>1.11^0</f>
        <v>1</v>
      </c>
      <c r="M16">
        <f>K16/L16</f>
        <v>125000</v>
      </c>
    </row>
    <row r="17" spans="1:13" x14ac:dyDescent="0.25">
      <c r="K17">
        <v>125000</v>
      </c>
      <c r="L17">
        <f>1.11^1</f>
        <v>1.1100000000000001</v>
      </c>
      <c r="M17">
        <f t="shared" ref="M17:M23" si="1">K17/L17</f>
        <v>112612.6126126126</v>
      </c>
    </row>
    <row r="18" spans="1:13" x14ac:dyDescent="0.25">
      <c r="A18" s="254" t="s">
        <v>195</v>
      </c>
      <c r="B18" s="254"/>
      <c r="C18" s="254"/>
      <c r="D18" s="254"/>
      <c r="E18" s="254"/>
      <c r="F18" s="254"/>
      <c r="G18" s="254"/>
      <c r="H18" s="254"/>
      <c r="K18">
        <v>125000</v>
      </c>
      <c r="L18">
        <f>1.11^2</f>
        <v>1.2321000000000002</v>
      </c>
      <c r="M18">
        <f t="shared" si="1"/>
        <v>101452.80415550685</v>
      </c>
    </row>
    <row r="19" spans="1:13" x14ac:dyDescent="0.25">
      <c r="A19" t="s">
        <v>161</v>
      </c>
      <c r="B19" t="s">
        <v>39</v>
      </c>
      <c r="C19" t="s">
        <v>162</v>
      </c>
      <c r="D19" t="s">
        <v>144</v>
      </c>
      <c r="E19" t="s">
        <v>163</v>
      </c>
      <c r="F19" t="s">
        <v>164</v>
      </c>
      <c r="G19" t="s">
        <v>165</v>
      </c>
      <c r="H19" t="s">
        <v>166</v>
      </c>
      <c r="K19">
        <v>125000</v>
      </c>
      <c r="L19">
        <f>1.11^3</f>
        <v>1.3676310000000003</v>
      </c>
      <c r="M19">
        <f t="shared" si="1"/>
        <v>91398.922662618774</v>
      </c>
    </row>
    <row r="20" spans="1:13" x14ac:dyDescent="0.25">
      <c r="C20" t="s">
        <v>15</v>
      </c>
      <c r="D20" t="s">
        <v>19</v>
      </c>
      <c r="E20" t="s">
        <v>20</v>
      </c>
      <c r="F20" t="s">
        <v>21</v>
      </c>
      <c r="G20" t="s">
        <v>22</v>
      </c>
      <c r="H20" t="s">
        <v>23</v>
      </c>
      <c r="K20">
        <v>125000</v>
      </c>
      <c r="L20">
        <f>1.11^4</f>
        <v>1.5180704100000004</v>
      </c>
      <c r="M20">
        <f t="shared" si="1"/>
        <v>82341.371768125013</v>
      </c>
    </row>
    <row r="21" spans="1:13" x14ac:dyDescent="0.25">
      <c r="A21" t="s">
        <v>167</v>
      </c>
      <c r="C21" s="4">
        <v>0</v>
      </c>
      <c r="D21" s="4">
        <f>B4</f>
        <v>1879750</v>
      </c>
      <c r="E21" s="4">
        <f t="shared" ref="E21:G21" si="2">C4</f>
        <v>2233334</v>
      </c>
      <c r="F21" s="4">
        <f t="shared" si="2"/>
        <v>2848183</v>
      </c>
      <c r="G21" s="4">
        <f t="shared" si="2"/>
        <v>3781162</v>
      </c>
      <c r="H21" s="4">
        <f>H22+H25</f>
        <v>5926383</v>
      </c>
      <c r="K21">
        <v>125000</v>
      </c>
      <c r="L21">
        <f>1.11^5</f>
        <v>1.6850581551000006</v>
      </c>
      <c r="M21">
        <f t="shared" si="1"/>
        <v>74181.416007319829</v>
      </c>
    </row>
    <row r="22" spans="1:13" x14ac:dyDescent="0.25">
      <c r="A22" t="s">
        <v>168</v>
      </c>
      <c r="C22" s="4"/>
      <c r="D22" s="4">
        <f>B4</f>
        <v>1879750</v>
      </c>
      <c r="E22" s="4">
        <f t="shared" ref="E22:G22" si="3">C4</f>
        <v>2233334</v>
      </c>
      <c r="F22" s="4">
        <f t="shared" si="3"/>
        <v>2848183</v>
      </c>
      <c r="G22" s="4">
        <f t="shared" si="3"/>
        <v>3781162</v>
      </c>
      <c r="H22" s="4">
        <f>F4</f>
        <v>5208539</v>
      </c>
      <c r="K22">
        <v>125000</v>
      </c>
      <c r="L22">
        <f>1.11^6</f>
        <v>1.8704145521610007</v>
      </c>
      <c r="M22">
        <f t="shared" si="1"/>
        <v>66830.104511098936</v>
      </c>
    </row>
    <row r="23" spans="1:13" x14ac:dyDescent="0.25">
      <c r="A23" t="s">
        <v>104</v>
      </c>
      <c r="B23" t="s">
        <v>112</v>
      </c>
      <c r="C23" s="4"/>
      <c r="D23" s="4"/>
      <c r="E23" s="4"/>
      <c r="F23" s="4"/>
      <c r="G23" s="4"/>
      <c r="H23" s="4">
        <f>'Ulaganje,prihodi,rashodi'!P32</f>
        <v>716500</v>
      </c>
      <c r="K23">
        <v>125000</v>
      </c>
      <c r="L23">
        <f>1.11^7</f>
        <v>2.0761601528987108</v>
      </c>
      <c r="M23">
        <f t="shared" si="1"/>
        <v>60207.301361350394</v>
      </c>
    </row>
    <row r="24" spans="1:13" x14ac:dyDescent="0.25">
      <c r="B24" t="s">
        <v>169</v>
      </c>
      <c r="C24" s="4"/>
      <c r="D24" s="4"/>
      <c r="E24" s="4"/>
      <c r="F24" s="4"/>
      <c r="G24" s="4"/>
      <c r="H24" s="4">
        <f>'Ulaganje,prihodi,rashodi'!I33</f>
        <v>1344</v>
      </c>
      <c r="M24">
        <f>SUM(M16:M23)-M16</f>
        <v>589024.53307863232</v>
      </c>
    </row>
    <row r="25" spans="1:13" x14ac:dyDescent="0.25">
      <c r="B25" t="s">
        <v>170</v>
      </c>
      <c r="C25" s="4"/>
      <c r="D25" s="4"/>
      <c r="E25" s="4"/>
      <c r="F25" s="4"/>
      <c r="G25" s="4"/>
      <c r="H25" s="4">
        <f>H23+H24</f>
        <v>717844</v>
      </c>
    </row>
    <row r="26" spans="1:13" x14ac:dyDescent="0.25">
      <c r="A26" t="s">
        <v>171</v>
      </c>
      <c r="C26" s="4">
        <f>C27+C28</f>
        <v>926344</v>
      </c>
      <c r="D26" s="4">
        <f>SUM(D29:D31)</f>
        <v>1383154.0191304293</v>
      </c>
      <c r="E26" s="4">
        <f t="shared" ref="E26:H26" si="4">SUM(E29:E31)</f>
        <v>1556361.3481691128</v>
      </c>
      <c r="F26" s="4">
        <f t="shared" si="4"/>
        <v>1863416.0789485243</v>
      </c>
      <c r="G26" s="4">
        <f t="shared" si="4"/>
        <v>2328947.7075926769</v>
      </c>
      <c r="H26" s="4">
        <f t="shared" si="4"/>
        <v>3044496.1861124849</v>
      </c>
    </row>
    <row r="27" spans="1:13" x14ac:dyDescent="0.25">
      <c r="A27" t="s">
        <v>172</v>
      </c>
      <c r="C27" s="4">
        <f>'Ulaganje,prihodi,rashodi'!I32</f>
        <v>925000</v>
      </c>
      <c r="D27" s="4"/>
      <c r="E27" s="4"/>
      <c r="F27" s="4"/>
      <c r="G27" s="4"/>
      <c r="H27" s="4"/>
    </row>
    <row r="28" spans="1:13" x14ac:dyDescent="0.25">
      <c r="A28" t="s">
        <v>173</v>
      </c>
      <c r="C28" s="4">
        <f>'Ulaganje,prihodi,rashodi'!I33</f>
        <v>1344</v>
      </c>
      <c r="D28" s="4"/>
      <c r="E28" s="4"/>
      <c r="F28" s="4"/>
      <c r="G28" s="4"/>
      <c r="H28" s="4"/>
    </row>
    <row r="29" spans="1:13" x14ac:dyDescent="0.25">
      <c r="A29" t="s">
        <v>174</v>
      </c>
      <c r="C29" s="4"/>
      <c r="D29" s="4">
        <f>SUM('RDG,ET,'!B6:B8)</f>
        <v>744690</v>
      </c>
      <c r="E29" s="4">
        <f>SUM('RDG,ET,'!C6:C8)</f>
        <v>872148</v>
      </c>
      <c r="F29" s="4">
        <f>SUM('RDG,ET,'!D6:D8)</f>
        <v>1101572.3999999999</v>
      </c>
      <c r="G29" s="4">
        <f>SUM('RDG,ET,'!E6:E8)</f>
        <v>1449532.7399999998</v>
      </c>
      <c r="H29" s="4">
        <f>SUM('RDG,ET,'!F6:F8)</f>
        <v>1986385.8359999999</v>
      </c>
    </row>
    <row r="30" spans="1:13" x14ac:dyDescent="0.25">
      <c r="A30" t="s">
        <v>175</v>
      </c>
      <c r="C30" s="4"/>
      <c r="D30" s="4">
        <f>B9</f>
        <v>528000</v>
      </c>
      <c r="E30" s="4">
        <f t="shared" ref="E30:H30" si="5">C9</f>
        <v>528000</v>
      </c>
      <c r="F30" s="4">
        <f t="shared" si="5"/>
        <v>528000</v>
      </c>
      <c r="G30" s="4">
        <f t="shared" si="5"/>
        <v>528000</v>
      </c>
      <c r="H30" s="4">
        <f t="shared" si="5"/>
        <v>528000</v>
      </c>
    </row>
    <row r="31" spans="1:13" x14ac:dyDescent="0.25">
      <c r="A31" t="s">
        <v>176</v>
      </c>
      <c r="C31" s="4"/>
      <c r="D31" s="4">
        <f>B15</f>
        <v>110464.01913042931</v>
      </c>
      <c r="E31" s="4">
        <f t="shared" ref="E31:H31" si="6">C15</f>
        <v>156213.34816911278</v>
      </c>
      <c r="F31" s="4">
        <f t="shared" si="6"/>
        <v>233843.67894852429</v>
      </c>
      <c r="G31" s="4">
        <f t="shared" si="6"/>
        <v>351414.96759267716</v>
      </c>
      <c r="H31" s="4">
        <f t="shared" si="6"/>
        <v>530110.35011248465</v>
      </c>
    </row>
    <row r="32" spans="1:13" x14ac:dyDescent="0.25">
      <c r="A32" t="s">
        <v>177</v>
      </c>
      <c r="C32" s="4">
        <f>C21-C26</f>
        <v>-926344</v>
      </c>
      <c r="D32" s="4">
        <f>D21-D26</f>
        <v>496595.98086957075</v>
      </c>
      <c r="E32" s="4">
        <f>E21-E26</f>
        <v>676972.65183088719</v>
      </c>
      <c r="F32" s="4">
        <f t="shared" ref="F32:G32" si="7">F21-F26</f>
        <v>984766.92105147569</v>
      </c>
      <c r="G32" s="4">
        <f t="shared" si="7"/>
        <v>1452214.2924073231</v>
      </c>
      <c r="H32" s="4">
        <f>H21-H26</f>
        <v>2881886.8138875151</v>
      </c>
    </row>
    <row r="33" spans="1:15" x14ac:dyDescent="0.25">
      <c r="A33" t="s">
        <v>178</v>
      </c>
      <c r="C33" s="4">
        <f>C32</f>
        <v>-926344</v>
      </c>
      <c r="D33" s="4">
        <f>D32+Table8[[#This Row],[GODINE:]]</f>
        <v>-429748.01913042925</v>
      </c>
      <c r="E33" s="4">
        <f>E32+Table8[[#This Row],[Column6]]</f>
        <v>247224.63270045794</v>
      </c>
      <c r="F33" s="4">
        <f>F32+Table8[[#This Row],[Column7]]</f>
        <v>1231991.5537519336</v>
      </c>
      <c r="G33" s="4">
        <f>G32+Table8[[#This Row],[Column8]]</f>
        <v>2684205.846159257</v>
      </c>
      <c r="H33" s="4">
        <f>H32+Table8[[#This Row],[Column9]]</f>
        <v>5566092.6600467721</v>
      </c>
    </row>
    <row r="35" spans="1:15" x14ac:dyDescent="0.25">
      <c r="A35" t="s">
        <v>179</v>
      </c>
      <c r="B35" t="s">
        <v>181</v>
      </c>
      <c r="C35" t="s">
        <v>182</v>
      </c>
      <c r="D35" s="23" t="s">
        <v>183</v>
      </c>
      <c r="E35" t="s">
        <v>184</v>
      </c>
      <c r="F35" t="s">
        <v>185</v>
      </c>
      <c r="G35" t="s">
        <v>186</v>
      </c>
    </row>
    <row r="36" spans="1:15" x14ac:dyDescent="0.25">
      <c r="A36" t="s">
        <v>180</v>
      </c>
      <c r="B36" s="4">
        <f t="shared" ref="B36:G36" si="8">C33</f>
        <v>-926344</v>
      </c>
      <c r="C36" s="4">
        <f t="shared" si="8"/>
        <v>-429748.01913042925</v>
      </c>
      <c r="D36" s="24">
        <f t="shared" si="8"/>
        <v>247224.63270045794</v>
      </c>
      <c r="E36" s="4">
        <f t="shared" si="8"/>
        <v>1231991.5537519336</v>
      </c>
      <c r="F36" s="4">
        <f t="shared" si="8"/>
        <v>2684205.846159257</v>
      </c>
      <c r="G36" s="4">
        <f t="shared" si="8"/>
        <v>5566092.6600467721</v>
      </c>
    </row>
    <row r="37" spans="1:15" x14ac:dyDescent="0.25">
      <c r="B37" s="4"/>
      <c r="C37" s="4"/>
      <c r="D37" s="24"/>
      <c r="E37" s="4"/>
      <c r="F37" s="4"/>
      <c r="G37" s="4"/>
    </row>
    <row r="38" spans="1:15" ht="15.75" thickBot="1" x14ac:dyDescent="0.3">
      <c r="A38" s="255" t="s">
        <v>194</v>
      </c>
      <c r="B38" s="255"/>
      <c r="C38" s="255"/>
    </row>
    <row r="39" spans="1:15" ht="31.5" thickTop="1" thickBot="1" x14ac:dyDescent="0.3">
      <c r="A39" s="41" t="s">
        <v>187</v>
      </c>
      <c r="B39" s="42" t="s">
        <v>188</v>
      </c>
      <c r="C39" s="42" t="s">
        <v>189</v>
      </c>
      <c r="F39" s="25" t="s">
        <v>190</v>
      </c>
      <c r="G39" s="25" t="s">
        <v>191</v>
      </c>
      <c r="H39" s="25" t="s">
        <v>192</v>
      </c>
      <c r="J39" s="36" t="s">
        <v>196</v>
      </c>
      <c r="K39" s="37">
        <f>IRR(C32:H32)</f>
        <v>0.81322777070621322</v>
      </c>
      <c r="M39" s="25" t="s">
        <v>190</v>
      </c>
      <c r="N39" s="25" t="s">
        <v>191</v>
      </c>
      <c r="O39" s="25" t="s">
        <v>192</v>
      </c>
    </row>
    <row r="40" spans="1:15" ht="15.75" thickTop="1" x14ac:dyDescent="0.25">
      <c r="A40" s="43">
        <v>0</v>
      </c>
      <c r="B40" s="21">
        <f>C32</f>
        <v>-926344</v>
      </c>
      <c r="C40" s="21">
        <f>C33</f>
        <v>-926344</v>
      </c>
      <c r="F40" s="26">
        <v>0.04</v>
      </c>
      <c r="G40" s="27">
        <f>1/(POWER((1+$F$40),Table1214[[#This Row],[God. Vijeka uporabe]]))</f>
        <v>1</v>
      </c>
      <c r="H40" s="28">
        <f>G40*Table1214[[#This Row],[Neto primici ek.tijeka]]</f>
        <v>-926344</v>
      </c>
      <c r="M40" s="38">
        <f>K39</f>
        <v>0.81322777070621322</v>
      </c>
      <c r="N40" s="27">
        <f>1/(POWER((1+$M$40),Table1214[[#This Row],[God. Vijeka uporabe]]))</f>
        <v>1</v>
      </c>
      <c r="O40" s="30">
        <f>N40*Table1214[[#This Row],[Neto primici ek.tijeka]]</f>
        <v>-926344</v>
      </c>
    </row>
    <row r="41" spans="1:15" x14ac:dyDescent="0.25">
      <c r="A41" s="43">
        <v>1</v>
      </c>
      <c r="B41" s="21">
        <f>D32</f>
        <v>496595.98086957075</v>
      </c>
      <c r="C41" s="21">
        <f>D33</f>
        <v>-429748.01913042925</v>
      </c>
      <c r="F41" s="29"/>
      <c r="G41" s="27">
        <f>1/(POWER((1+$F$40),Table1214[[#This Row],[God. Vijeka uporabe]]))</f>
        <v>0.96153846153846145</v>
      </c>
      <c r="H41" s="28">
        <f>G41*Table1214[[#This Row],[Neto primici ek.tijeka]]</f>
        <v>477496.13545151032</v>
      </c>
      <c r="M41" s="39"/>
      <c r="N41" s="27">
        <f>1/(POWER((1+$M$40),Table1214[[#This Row],[God. Vijeka uporabe]]))</f>
        <v>0.55150269379037886</v>
      </c>
      <c r="O41" s="30">
        <f>N41*Table1214[[#This Row],[Neto primici ek.tijeka]]</f>
        <v>273874.02117504372</v>
      </c>
    </row>
    <row r="42" spans="1:15" x14ac:dyDescent="0.25">
      <c r="A42" s="43">
        <v>2</v>
      </c>
      <c r="B42" s="21">
        <f>E32</f>
        <v>676972.65183088719</v>
      </c>
      <c r="C42" s="21">
        <f>E33</f>
        <v>247224.63270045794</v>
      </c>
      <c r="F42" s="29"/>
      <c r="G42" s="27">
        <f>1/(POWER((1+$F$40),Table1214[[#This Row],[God. Vijeka uporabe]]))</f>
        <v>0.92455621301775137</v>
      </c>
      <c r="H42" s="28">
        <f>G42*Table1214[[#This Row],[Neto primici ek.tijeka]]</f>
        <v>625899.2712933498</v>
      </c>
      <c r="M42" s="39"/>
      <c r="N42" s="27">
        <f>1/(POWER((1+$M$40),Table1214[[#This Row],[God. Vijeka uporabe]]))</f>
        <v>0.30415522125804439</v>
      </c>
      <c r="O42" s="30">
        <f>N42*Table1214[[#This Row],[Neto primici ek.tijeka]]</f>
        <v>205904.76670326854</v>
      </c>
    </row>
    <row r="43" spans="1:15" x14ac:dyDescent="0.25">
      <c r="A43" s="43">
        <v>3</v>
      </c>
      <c r="B43" s="21">
        <f>F32</f>
        <v>984766.92105147569</v>
      </c>
      <c r="C43" s="21">
        <f>F33</f>
        <v>1231991.5537519336</v>
      </c>
      <c r="F43" s="29"/>
      <c r="G43" s="27">
        <f>1/(POWER((1+$F$40),Table1214[[#This Row],[God. Vijeka uporabe]]))</f>
        <v>0.88899635867091487</v>
      </c>
      <c r="H43" s="28">
        <f>G43*Table1214[[#This Row],[Neto primici ek.tijeka]]</f>
        <v>875454.20695433021</v>
      </c>
      <c r="M43" s="39"/>
      <c r="N43" s="27">
        <f>1/(POWER((1+$M$40),Table1214[[#This Row],[God. Vijeka uporabe]]))</f>
        <v>0.1677424238542202</v>
      </c>
      <c r="O43" s="30">
        <f>N43*Table1214[[#This Row],[Neto primici ek.tijeka]]</f>
        <v>165187.19026863202</v>
      </c>
    </row>
    <row r="44" spans="1:15" x14ac:dyDescent="0.25">
      <c r="A44" s="43">
        <v>4</v>
      </c>
      <c r="B44" s="21">
        <f>G32</f>
        <v>1452214.2924073231</v>
      </c>
      <c r="C44" s="21">
        <f>G33</f>
        <v>2684205.846159257</v>
      </c>
      <c r="F44" s="29"/>
      <c r="G44" s="27">
        <f>1/(POWER((1+$F$40),Table1214[[#This Row],[God. Vijeka uporabe]]))</f>
        <v>0.85480419102972571</v>
      </c>
      <c r="H44" s="28">
        <f>G44*Table1214[[#This Row],[Neto primici ek.tijeka]]</f>
        <v>1241358.8634230474</v>
      </c>
      <c r="M44" s="39"/>
      <c r="N44" s="27">
        <f>1/(POWER((1+$M$40),Table1214[[#This Row],[God. Vijeka uporabe]]))</f>
        <v>9.2510398618529943E-2</v>
      </c>
      <c r="O44" s="30">
        <f>N44*Table1214[[#This Row],[Neto primici ek.tijeka]]</f>
        <v>134344.92307012787</v>
      </c>
    </row>
    <row r="45" spans="1:15" x14ac:dyDescent="0.25">
      <c r="A45" s="43">
        <v>5</v>
      </c>
      <c r="B45" s="21">
        <f>H32</f>
        <v>2881886.8138875151</v>
      </c>
      <c r="C45" s="21">
        <f>H33</f>
        <v>5566092.6600467721</v>
      </c>
      <c r="F45" s="29"/>
      <c r="G45" s="27">
        <f>1/(POWER((1+$F$40),Table1214[[#This Row],[God. Vijeka uporabe]]))</f>
        <v>0.82192710675935154</v>
      </c>
      <c r="H45" s="28">
        <f>G45*Table1214[[#This Row],[Neto primici ek.tijeka]]</f>
        <v>2368700.8909464912</v>
      </c>
      <c r="M45" s="39"/>
      <c r="N45" s="27">
        <f>1/(POWER((1+$M$40),Table1214[[#This Row],[God. Vijeka uporabe]]))</f>
        <v>5.1019734041741004E-2</v>
      </c>
      <c r="O45" s="30">
        <f>N45*Table1214[[#This Row],[Neto primici ek.tijeka]]</f>
        <v>147033.09878294138</v>
      </c>
    </row>
    <row r="46" spans="1:15" x14ac:dyDescent="0.25">
      <c r="F46" s="32" t="s">
        <v>193</v>
      </c>
      <c r="G46" s="31"/>
      <c r="H46" s="33">
        <f>ROUND(SUM(H40:H45),0)</f>
        <v>4662565</v>
      </c>
      <c r="M46" s="31" t="s">
        <v>193</v>
      </c>
      <c r="N46" s="31"/>
      <c r="O46" s="30">
        <f>ROUND(SUM(O40:O45),0)</f>
        <v>0</v>
      </c>
    </row>
    <row r="48" spans="1:15" x14ac:dyDescent="0.25">
      <c r="B48" s="34"/>
    </row>
    <row r="49" spans="6:11" ht="28.5" x14ac:dyDescent="0.25">
      <c r="F49" s="25" t="s">
        <v>190</v>
      </c>
      <c r="G49" s="25" t="s">
        <v>191</v>
      </c>
      <c r="H49" s="25" t="s">
        <v>192</v>
      </c>
      <c r="I49" s="25" t="s">
        <v>197</v>
      </c>
      <c r="J49" s="25" t="s">
        <v>198</v>
      </c>
      <c r="K49" s="25" t="s">
        <v>199</v>
      </c>
    </row>
    <row r="50" spans="6:11" x14ac:dyDescent="0.25">
      <c r="F50" s="40">
        <v>0.81</v>
      </c>
      <c r="G50" s="27">
        <f>1/(POWER((1+$F$50),A40))</f>
        <v>1</v>
      </c>
      <c r="H50" s="30">
        <f>Table20[[#This Row],[Diskontni faktor]]*B40</f>
        <v>-926344</v>
      </c>
      <c r="I50" s="40">
        <v>0.82</v>
      </c>
      <c r="J50" s="27">
        <f>1/(POWER((1+$I$50),A40))</f>
        <v>1</v>
      </c>
      <c r="K50" s="30">
        <f>J50*B40</f>
        <v>-926344</v>
      </c>
    </row>
    <row r="51" spans="6:11" x14ac:dyDescent="0.25">
      <c r="F51" s="39"/>
      <c r="G51" s="27">
        <f t="shared" ref="G51:G55" si="9">1/(POWER((1+$F$50),A41))</f>
        <v>0.5524861878453039</v>
      </c>
      <c r="H51" s="30">
        <f>Table20[[#This Row],[Diskontni faktor]]*B41</f>
        <v>274362.42036992859</v>
      </c>
      <c r="I51" s="39"/>
      <c r="J51" s="27">
        <f t="shared" ref="J51:J55" si="10">1/(POWER((1+$I$50),A41))</f>
        <v>0.5494505494505495</v>
      </c>
      <c r="K51" s="30">
        <f t="shared" ref="K51:K55" si="11">J51*B41</f>
        <v>272854.93454372021</v>
      </c>
    </row>
    <row r="52" spans="6:11" x14ac:dyDescent="0.25">
      <c r="F52" s="39"/>
      <c r="G52" s="27">
        <f t="shared" si="9"/>
        <v>0.30524098775983638</v>
      </c>
      <c r="H52" s="30">
        <f>Table20[[#This Row],[Diskontni faktor]]*B42</f>
        <v>206639.8009312558</v>
      </c>
      <c r="I52" s="39"/>
      <c r="J52" s="27">
        <f t="shared" si="10"/>
        <v>0.30189590629151075</v>
      </c>
      <c r="K52" s="30">
        <f t="shared" si="11"/>
        <v>204375.27225905305</v>
      </c>
    </row>
    <row r="53" spans="6:11" x14ac:dyDescent="0.25">
      <c r="F53" s="39"/>
      <c r="G53" s="27">
        <f t="shared" si="9"/>
        <v>0.16864142970156706</v>
      </c>
      <c r="H53" s="30">
        <f>Table20[[#This Row],[Diskontni faktor]]*B43</f>
        <v>166072.50148893107</v>
      </c>
      <c r="I53" s="39"/>
      <c r="J53" s="27">
        <f t="shared" si="10"/>
        <v>0.16587687158874218</v>
      </c>
      <c r="K53" s="30">
        <f t="shared" si="11"/>
        <v>163350.05610809664</v>
      </c>
    </row>
    <row r="54" spans="6:11" x14ac:dyDescent="0.25">
      <c r="F54" s="39"/>
      <c r="G54" s="27">
        <f t="shared" si="9"/>
        <v>9.3172060608600588E-2</v>
      </c>
      <c r="H54" s="30">
        <f>Table20[[#This Row],[Diskontni faktor]]*B44</f>
        <v>135305.79806885112</v>
      </c>
      <c r="I54" s="39"/>
      <c r="J54" s="27">
        <f t="shared" si="10"/>
        <v>9.1141138235572641E-2</v>
      </c>
      <c r="K54" s="30">
        <f t="shared" si="11"/>
        <v>132356.46357197015</v>
      </c>
    </row>
    <row r="55" spans="6:11" x14ac:dyDescent="0.25">
      <c r="F55" s="39"/>
      <c r="G55" s="27">
        <f t="shared" si="9"/>
        <v>5.1476276579337343E-2</v>
      </c>
      <c r="H55" s="30">
        <f>Table20[[#This Row],[Diskontni faktor]]*B45</f>
        <v>148348.80270201902</v>
      </c>
      <c r="I55" s="39"/>
      <c r="J55" s="27">
        <f t="shared" si="10"/>
        <v>5.0077548481083881E-2</v>
      </c>
      <c r="K55" s="30">
        <f t="shared" si="11"/>
        <v>144317.82663944841</v>
      </c>
    </row>
    <row r="56" spans="6:11" x14ac:dyDescent="0.25">
      <c r="F56" s="31" t="s">
        <v>193</v>
      </c>
      <c r="G56" s="31"/>
      <c r="H56" s="30">
        <f>ROUND(SUM(H50:H55),0)</f>
        <v>4385</v>
      </c>
      <c r="I56" s="31" t="s">
        <v>193</v>
      </c>
      <c r="J56" s="31"/>
      <c r="K56" s="30">
        <f>ROUND(SUM(K50:K55),0)</f>
        <v>-9089</v>
      </c>
    </row>
  </sheetData>
  <mergeCells count="3">
    <mergeCell ref="A1:F1"/>
    <mergeCell ref="A38:C38"/>
    <mergeCell ref="A18:H18"/>
  </mergeCells>
  <pageMargins left="0.7" right="0.7" top="0.75" bottom="0.75" header="0.3" footer="0.3"/>
  <tableParts count="7">
    <tablePart r:id="rId1"/>
    <tablePart r:id="rId2"/>
    <tablePart r:id="rId3"/>
    <tablePart r:id="rId4"/>
    <tablePart r:id="rId5"/>
    <tablePart r:id="rId6"/>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49"/>
  <sheetViews>
    <sheetView topLeftCell="A13" workbookViewId="0">
      <selection activeCell="D35" sqref="D35"/>
    </sheetView>
  </sheetViews>
  <sheetFormatPr defaultRowHeight="15" x14ac:dyDescent="0.25"/>
  <cols>
    <col min="1" max="1" width="16.5703125" customWidth="1"/>
    <col min="2" max="2" width="18" bestFit="1" customWidth="1"/>
    <col min="3" max="3" width="10" customWidth="1"/>
    <col min="4" max="5" width="16.42578125" customWidth="1"/>
    <col min="8" max="8" width="17" customWidth="1"/>
    <col min="9" max="9" width="17.85546875" customWidth="1"/>
    <col min="10" max="10" width="17.28515625" customWidth="1"/>
    <col min="11" max="11" width="22.7109375" customWidth="1"/>
    <col min="12" max="12" width="16.5703125" customWidth="1"/>
    <col min="13" max="13" width="11.42578125" customWidth="1"/>
    <col min="14" max="14" width="12" customWidth="1"/>
    <col min="15" max="15" width="12.85546875" customWidth="1"/>
    <col min="16" max="16" width="12.140625" customWidth="1"/>
    <col min="17" max="17" width="12.28515625" customWidth="1"/>
    <col min="18" max="18" width="11.42578125" customWidth="1"/>
    <col min="19" max="19" width="13" customWidth="1"/>
  </cols>
  <sheetData>
    <row r="2" spans="1:10" x14ac:dyDescent="0.25">
      <c r="A2" t="s">
        <v>39</v>
      </c>
      <c r="B2" s="3" t="s">
        <v>40</v>
      </c>
    </row>
    <row r="3" spans="1:10" x14ac:dyDescent="0.25">
      <c r="A3" t="s">
        <v>94</v>
      </c>
      <c r="B3" s="15">
        <v>350000</v>
      </c>
      <c r="C3" s="4"/>
    </row>
    <row r="4" spans="1:10" x14ac:dyDescent="0.25">
      <c r="A4" t="s">
        <v>95</v>
      </c>
      <c r="B4" s="16">
        <v>5</v>
      </c>
      <c r="C4" s="4"/>
    </row>
    <row r="5" spans="1:10" x14ac:dyDescent="0.25">
      <c r="A5" t="s">
        <v>99</v>
      </c>
      <c r="B5" s="16">
        <f>B4*4</f>
        <v>20</v>
      </c>
      <c r="C5" s="4"/>
    </row>
    <row r="6" spans="1:10" x14ac:dyDescent="0.25">
      <c r="A6" t="s">
        <v>96</v>
      </c>
      <c r="B6" s="16">
        <v>4</v>
      </c>
      <c r="C6" s="4"/>
    </row>
    <row r="7" spans="1:10" x14ac:dyDescent="0.25">
      <c r="A7" s="8" t="s">
        <v>97</v>
      </c>
      <c r="B7" s="16">
        <f>1+(B6/4)/100</f>
        <v>1.01</v>
      </c>
      <c r="C7" s="4"/>
    </row>
    <row r="8" spans="1:10" x14ac:dyDescent="0.25">
      <c r="A8" s="1" t="s">
        <v>98</v>
      </c>
      <c r="B8" s="15">
        <f>B3*(POWER(B7,B5)*(B7-1))/(POWER(B7,B5)-1)</f>
        <v>19395.360211692983</v>
      </c>
    </row>
    <row r="12" spans="1:10" x14ac:dyDescent="0.25">
      <c r="A12" t="s">
        <v>11</v>
      </c>
      <c r="B12" t="s">
        <v>12</v>
      </c>
      <c r="C12" t="s">
        <v>10</v>
      </c>
      <c r="D12" t="s">
        <v>13</v>
      </c>
      <c r="E12" t="s">
        <v>14</v>
      </c>
    </row>
    <row r="13" spans="1:10" x14ac:dyDescent="0.25">
      <c r="A13" s="1" t="s">
        <v>15</v>
      </c>
      <c r="C13" s="5"/>
      <c r="D13" s="5"/>
    </row>
    <row r="14" spans="1:10" x14ac:dyDescent="0.25">
      <c r="C14" s="5"/>
      <c r="D14" s="5"/>
    </row>
    <row r="15" spans="1:10" x14ac:dyDescent="0.25">
      <c r="C15" s="5"/>
      <c r="D15" s="5"/>
      <c r="H15" t="s">
        <v>16</v>
      </c>
      <c r="I15" t="s">
        <v>17</v>
      </c>
      <c r="J15" t="s">
        <v>18</v>
      </c>
    </row>
    <row r="16" spans="1:10" x14ac:dyDescent="0.25">
      <c r="B16" s="4"/>
      <c r="C16" s="4">
        <f>Table16[[#This Row],[Ostatak duga]]*(B7-1)</f>
        <v>3500.0000000000032</v>
      </c>
      <c r="D16" s="4"/>
      <c r="E16" s="4">
        <v>350000</v>
      </c>
      <c r="H16" s="1"/>
      <c r="I16" s="1"/>
      <c r="J16" s="1"/>
    </row>
    <row r="17" spans="1:15" x14ac:dyDescent="0.25">
      <c r="A17" t="s">
        <v>19</v>
      </c>
      <c r="B17" s="4">
        <f>B8</f>
        <v>19395.360211692983</v>
      </c>
      <c r="C17" s="4">
        <f>C16</f>
        <v>3500.0000000000032</v>
      </c>
      <c r="D17" s="4">
        <f>Table16[[#This Row],[Anuitet]]-Table16[[#This Row],[Kamate]]</f>
        <v>15895.36021169298</v>
      </c>
      <c r="E17" s="4">
        <f>E16-Table16[[#This Row],[Otplatna kvota]]</f>
        <v>334104.63978830702</v>
      </c>
      <c r="H17" t="s">
        <v>15</v>
      </c>
      <c r="I17" s="4">
        <f>C16</f>
        <v>3500.0000000000032</v>
      </c>
      <c r="J17" s="4">
        <v>0</v>
      </c>
    </row>
    <row r="18" spans="1:15" x14ac:dyDescent="0.25">
      <c r="B18" s="4">
        <f>B17</f>
        <v>19395.360211692983</v>
      </c>
      <c r="C18" s="4">
        <f>E17*($B$7-1)</f>
        <v>3341.046397883073</v>
      </c>
      <c r="D18" s="4">
        <f>Table16[[#This Row],[Anuitet]]-Table16[[#This Row],[Kamate]]</f>
        <v>16054.313813809909</v>
      </c>
      <c r="E18" s="4">
        <f>E17-Table16[[#This Row],[Otplatna kvota]]</f>
        <v>318050.32597449713</v>
      </c>
      <c r="H18" t="s">
        <v>19</v>
      </c>
      <c r="I18" s="4">
        <f>SUM(C17:C20)</f>
        <v>13039.904347853542</v>
      </c>
      <c r="J18" s="4">
        <f>SUM(D17:D20)</f>
        <v>64541.536498918387</v>
      </c>
    </row>
    <row r="19" spans="1:15" x14ac:dyDescent="0.25">
      <c r="B19" s="4">
        <f t="shared" ref="B19:B35" si="0">B18</f>
        <v>19395.360211692983</v>
      </c>
      <c r="C19" s="4">
        <f t="shared" ref="C19:C36" si="1">E18*($B$7-1)</f>
        <v>3180.503259744974</v>
      </c>
      <c r="D19" s="4">
        <f>Table16[[#This Row],[Anuitet]]-Table16[[#This Row],[Kamate]]</f>
        <v>16214.85695194801</v>
      </c>
      <c r="E19" s="4">
        <f>E18-Table16[[#This Row],[Otplatna kvota]]</f>
        <v>301835.46902254911</v>
      </c>
      <c r="H19" t="s">
        <v>20</v>
      </c>
      <c r="I19" s="4">
        <f>SUM(C21:C24)</f>
        <v>10419.259154436095</v>
      </c>
      <c r="J19" s="4">
        <f>SUM(D21:D24)</f>
        <v>67162.181692335842</v>
      </c>
    </row>
    <row r="20" spans="1:15" x14ac:dyDescent="0.25">
      <c r="B20" s="4">
        <f t="shared" si="0"/>
        <v>19395.360211692983</v>
      </c>
      <c r="C20" s="4">
        <f t="shared" si="1"/>
        <v>3018.3546902254939</v>
      </c>
      <c r="D20" s="4">
        <f>Table16[[#This Row],[Anuitet]]-Table16[[#This Row],[Kamate]]</f>
        <v>16377.00552146749</v>
      </c>
      <c r="E20" s="4">
        <f>E19-Table16[[#This Row],[Otplatna kvota]]</f>
        <v>285458.46350108163</v>
      </c>
      <c r="H20" t="s">
        <v>21</v>
      </c>
      <c r="I20" s="4">
        <f>SUM(C25:C28)</f>
        <v>7692.2052573786705</v>
      </c>
      <c r="J20" s="4">
        <f>SUM(D25:D28)</f>
        <v>69889.235589393254</v>
      </c>
    </row>
    <row r="21" spans="1:15" x14ac:dyDescent="0.25">
      <c r="A21" t="s">
        <v>20</v>
      </c>
      <c r="B21" s="4">
        <f t="shared" si="0"/>
        <v>19395.360211692983</v>
      </c>
      <c r="C21" s="4">
        <f t="shared" si="1"/>
        <v>2854.5846350108186</v>
      </c>
      <c r="D21" s="4">
        <f>Table16[[#This Row],[Anuitet]]-Table16[[#This Row],[Kamate]]</f>
        <v>16540.775576682165</v>
      </c>
      <c r="E21" s="4">
        <f>E20-Table16[[#This Row],[Otplatna kvota]]</f>
        <v>268917.68792439945</v>
      </c>
      <c r="H21" t="s">
        <v>22</v>
      </c>
      <c r="I21" s="4">
        <f>SUM(C29:C32)</f>
        <v>4854.4220366145873</v>
      </c>
      <c r="J21" s="4">
        <f>SUM(D29:D32)</f>
        <v>72727.018810157344</v>
      </c>
    </row>
    <row r="22" spans="1:15" x14ac:dyDescent="0.25">
      <c r="B22" s="4">
        <f t="shared" si="0"/>
        <v>19395.360211692983</v>
      </c>
      <c r="C22" s="4">
        <f t="shared" si="1"/>
        <v>2689.1768792439971</v>
      </c>
      <c r="D22" s="4">
        <f>Table16[[#This Row],[Anuitet]]-Table16[[#This Row],[Kamate]]</f>
        <v>16706.183332448985</v>
      </c>
      <c r="E22" s="4">
        <f>E21-Table16[[#This Row],[Otplatna kvota]]</f>
        <v>252211.50459195045</v>
      </c>
      <c r="H22" t="s">
        <v>23</v>
      </c>
      <c r="I22" s="4">
        <f>SUM(C33:C36)</f>
        <v>1901.4134375767674</v>
      </c>
      <c r="J22" s="4">
        <f>SUM(D33:D36)</f>
        <v>75680.027409195172</v>
      </c>
    </row>
    <row r="23" spans="1:15" x14ac:dyDescent="0.25">
      <c r="B23" s="4">
        <f t="shared" si="0"/>
        <v>19395.360211692983</v>
      </c>
      <c r="C23" s="4">
        <f t="shared" si="1"/>
        <v>2522.1150459195069</v>
      </c>
      <c r="D23" s="4">
        <f>Table16[[#This Row],[Anuitet]]-Table16[[#This Row],[Kamate]]</f>
        <v>16873.245165773478</v>
      </c>
      <c r="E23" s="4">
        <f>E22-Table16[[#This Row],[Otplatna kvota]]</f>
        <v>235338.25942617696</v>
      </c>
      <c r="H23" s="1" t="s">
        <v>9</v>
      </c>
      <c r="I23" s="6">
        <f>SUM(I17:I22)</f>
        <v>41407.204233859666</v>
      </c>
      <c r="J23" s="6">
        <f>SUM(J18:J22)</f>
        <v>350000</v>
      </c>
    </row>
    <row r="24" spans="1:15" x14ac:dyDescent="0.25">
      <c r="B24" s="4">
        <f t="shared" si="0"/>
        <v>19395.360211692983</v>
      </c>
      <c r="C24" s="4">
        <f t="shared" si="1"/>
        <v>2353.3825942617718</v>
      </c>
      <c r="D24" s="4">
        <f>Table16[[#This Row],[Anuitet]]-Table16[[#This Row],[Kamate]]</f>
        <v>17041.97761743121</v>
      </c>
      <c r="E24" s="4">
        <f>E23-Table16[[#This Row],[Otplatna kvota]]</f>
        <v>218296.28180874576</v>
      </c>
    </row>
    <row r="25" spans="1:15" x14ac:dyDescent="0.25">
      <c r="A25" t="s">
        <v>21</v>
      </c>
      <c r="B25" s="4">
        <f t="shared" si="0"/>
        <v>19395.360211692983</v>
      </c>
      <c r="C25" s="4">
        <f t="shared" si="1"/>
        <v>2182.9628180874597</v>
      </c>
      <c r="D25" s="4">
        <f>Table16[[#This Row],[Anuitet]]-Table16[[#This Row],[Kamate]]</f>
        <v>17212.397393605523</v>
      </c>
      <c r="E25" s="4">
        <f>E24-Table16[[#This Row],[Otplatna kvota]]</f>
        <v>201083.88441514023</v>
      </c>
    </row>
    <row r="26" spans="1:15" x14ac:dyDescent="0.25">
      <c r="B26" s="4">
        <f t="shared" si="0"/>
        <v>19395.360211692983</v>
      </c>
      <c r="C26" s="4">
        <f t="shared" si="1"/>
        <v>2010.8388441514041</v>
      </c>
      <c r="D26" s="4">
        <f>Table16[[#This Row],[Anuitet]]-Table16[[#This Row],[Kamate]]</f>
        <v>17384.52136754158</v>
      </c>
      <c r="E26" s="4">
        <f>E25-Table16[[#This Row],[Otplatna kvota]]</f>
        <v>183699.36304759866</v>
      </c>
      <c r="H26" s="2" t="s">
        <v>24</v>
      </c>
      <c r="I26" s="2" t="s">
        <v>15</v>
      </c>
      <c r="J26" s="2" t="s">
        <v>19</v>
      </c>
      <c r="K26" s="2" t="s">
        <v>20</v>
      </c>
      <c r="L26" s="2" t="s">
        <v>21</v>
      </c>
      <c r="M26" s="2" t="s">
        <v>22</v>
      </c>
      <c r="N26" s="2" t="s">
        <v>23</v>
      </c>
      <c r="O26" s="2" t="s">
        <v>9</v>
      </c>
    </row>
    <row r="27" spans="1:15" x14ac:dyDescent="0.25">
      <c r="B27" s="4">
        <f t="shared" si="0"/>
        <v>19395.360211692983</v>
      </c>
      <c r="C27" s="4">
        <f t="shared" si="1"/>
        <v>1836.9936304759883</v>
      </c>
      <c r="D27" s="4">
        <f>Table16[[#This Row],[Anuitet]]-Table16[[#This Row],[Kamate]]</f>
        <v>17558.366581216997</v>
      </c>
      <c r="E27" s="4">
        <f>E26-Table16[[#This Row],[Otplatna kvota]]</f>
        <v>166140.99646638165</v>
      </c>
      <c r="H27" s="7" t="s">
        <v>25</v>
      </c>
      <c r="I27" s="2">
        <v>0</v>
      </c>
      <c r="J27" s="2">
        <f>ROUND(J18,0)</f>
        <v>64542</v>
      </c>
      <c r="K27" s="2">
        <f>ROUND(J19,0)</f>
        <v>67162</v>
      </c>
      <c r="L27" s="2">
        <f t="shared" ref="L27" si="2">ROUND(J20,0)</f>
        <v>69889</v>
      </c>
      <c r="M27" s="2">
        <f t="shared" ref="M27" si="3">ROUND(J21,0)</f>
        <v>72727</v>
      </c>
      <c r="N27" s="2">
        <f t="shared" ref="N27" si="4">ROUND(J22,0)</f>
        <v>75680</v>
      </c>
      <c r="O27" s="2">
        <f>SUM(Table18[[#This Row],[2013.]:[2018.]])</f>
        <v>350000</v>
      </c>
    </row>
    <row r="28" spans="1:15" x14ac:dyDescent="0.25">
      <c r="B28" s="4">
        <f t="shared" si="0"/>
        <v>19395.360211692983</v>
      </c>
      <c r="C28" s="4">
        <f t="shared" si="1"/>
        <v>1661.4099646638181</v>
      </c>
      <c r="D28" s="4">
        <f>Table16[[#This Row],[Anuitet]]-Table16[[#This Row],[Kamate]]</f>
        <v>17733.950247029166</v>
      </c>
      <c r="E28" s="4">
        <f>E27-Table16[[#This Row],[Otplatna kvota]]</f>
        <v>148407.04621935249</v>
      </c>
      <c r="H28" s="2" t="s">
        <v>26</v>
      </c>
      <c r="I28" s="2">
        <f>ROUND(I17,0)</f>
        <v>3500</v>
      </c>
      <c r="J28" s="2">
        <f>ROUND(I18,0)</f>
        <v>13040</v>
      </c>
      <c r="K28" s="2">
        <f>ROUND(I19,0)</f>
        <v>10419</v>
      </c>
      <c r="L28" s="2">
        <f>ROUND(I20,0)</f>
        <v>7692</v>
      </c>
      <c r="M28" s="2">
        <f>ROUND(I21,0)</f>
        <v>4854</v>
      </c>
      <c r="N28" s="2">
        <f>ROUND(I22,0)</f>
        <v>1901</v>
      </c>
      <c r="O28" s="2">
        <f>SUM(Table18[[#This Row],[2013.]:[2018.]])</f>
        <v>41406</v>
      </c>
    </row>
    <row r="29" spans="1:15" x14ac:dyDescent="0.25">
      <c r="A29" t="s">
        <v>22</v>
      </c>
      <c r="B29" s="4">
        <f t="shared" si="0"/>
        <v>19395.360211692983</v>
      </c>
      <c r="C29" s="4">
        <f t="shared" si="1"/>
        <v>1484.0704621935263</v>
      </c>
      <c r="D29" s="4">
        <f>Table16[[#This Row],[Anuitet]]-Table16[[#This Row],[Kamate]]</f>
        <v>17911.289749499458</v>
      </c>
      <c r="E29" s="4">
        <f>E28-Table16[[#This Row],[Otplatna kvota]]</f>
        <v>130495.75646985303</v>
      </c>
      <c r="H29" s="7" t="s">
        <v>9</v>
      </c>
      <c r="I29" s="2">
        <f>SUM(I27:I28)</f>
        <v>3500</v>
      </c>
      <c r="J29" s="2">
        <f>SUM(J27:J28)</f>
        <v>77582</v>
      </c>
      <c r="K29" s="2">
        <f t="shared" ref="K29:N29" si="5">SUM(K27:K28)</f>
        <v>77581</v>
      </c>
      <c r="L29" s="2">
        <f t="shared" si="5"/>
        <v>77581</v>
      </c>
      <c r="M29" s="2">
        <f t="shared" si="5"/>
        <v>77581</v>
      </c>
      <c r="N29" s="2">
        <f t="shared" si="5"/>
        <v>77581</v>
      </c>
      <c r="O29" s="2">
        <f>SUM(O27:O28)</f>
        <v>391406</v>
      </c>
    </row>
    <row r="30" spans="1:15" x14ac:dyDescent="0.25">
      <c r="B30" s="4">
        <f t="shared" si="0"/>
        <v>19395.360211692983</v>
      </c>
      <c r="C30" s="4">
        <f t="shared" si="1"/>
        <v>1304.9575646985315</v>
      </c>
      <c r="D30" s="4">
        <f>Table16[[#This Row],[Anuitet]]-Table16[[#This Row],[Kamate]]</f>
        <v>18090.402646994451</v>
      </c>
      <c r="E30" s="4">
        <f>E29-Table16[[#This Row],[Otplatna kvota]]</f>
        <v>112405.35382285858</v>
      </c>
    </row>
    <row r="31" spans="1:15" x14ac:dyDescent="0.25">
      <c r="B31" s="4">
        <f t="shared" si="0"/>
        <v>19395.360211692983</v>
      </c>
      <c r="C31" s="4">
        <f t="shared" si="1"/>
        <v>1124.0535382285868</v>
      </c>
      <c r="D31" s="4">
        <f>Table16[[#This Row],[Anuitet]]-Table16[[#This Row],[Kamate]]</f>
        <v>18271.306673464398</v>
      </c>
      <c r="E31" s="4">
        <f>E30-Table16[[#This Row],[Otplatna kvota]]</f>
        <v>94134.047149394188</v>
      </c>
    </row>
    <row r="32" spans="1:15" x14ac:dyDescent="0.25">
      <c r="B32" s="4">
        <f t="shared" si="0"/>
        <v>19395.360211692983</v>
      </c>
      <c r="C32" s="4">
        <f t="shared" si="1"/>
        <v>941.34047149394269</v>
      </c>
      <c r="D32" s="4">
        <f>Table16[[#This Row],[Anuitet]]-Table16[[#This Row],[Kamate]]</f>
        <v>18454.019740199041</v>
      </c>
      <c r="E32" s="4">
        <f>E31-Table16[[#This Row],[Otplatna kvota]]</f>
        <v>75680.027409195143</v>
      </c>
      <c r="G32" t="s">
        <v>27</v>
      </c>
    </row>
    <row r="33" spans="1:5" x14ac:dyDescent="0.25">
      <c r="A33" t="s">
        <v>23</v>
      </c>
      <c r="B33" s="4">
        <f t="shared" si="0"/>
        <v>19395.360211692983</v>
      </c>
      <c r="C33" s="4">
        <f t="shared" si="1"/>
        <v>756.80027409195213</v>
      </c>
      <c r="D33" s="4">
        <f>Table16[[#This Row],[Anuitet]]-Table16[[#This Row],[Kamate]]</f>
        <v>18638.559937601032</v>
      </c>
      <c r="E33" s="4">
        <f>E32-Table16[[#This Row],[Otplatna kvota]]</f>
        <v>57041.467471594107</v>
      </c>
    </row>
    <row r="34" spans="1:5" x14ac:dyDescent="0.25">
      <c r="B34" s="4">
        <f t="shared" si="0"/>
        <v>19395.360211692983</v>
      </c>
      <c r="C34" s="4">
        <f t="shared" si="1"/>
        <v>570.4146747159416</v>
      </c>
      <c r="D34" s="4">
        <f>Table16[[#This Row],[Anuitet]]-Table16[[#This Row],[Kamate]]</f>
        <v>18824.94553697704</v>
      </c>
      <c r="E34" s="4">
        <f>E33-Table16[[#This Row],[Otplatna kvota]]</f>
        <v>38216.521934617063</v>
      </c>
    </row>
    <row r="35" spans="1:5" x14ac:dyDescent="0.25">
      <c r="B35" s="4">
        <f t="shared" si="0"/>
        <v>19395.360211692983</v>
      </c>
      <c r="C35" s="4">
        <f t="shared" si="1"/>
        <v>382.165219346171</v>
      </c>
      <c r="D35" s="4">
        <f>Table16[[#This Row],[Anuitet]]-Table16[[#This Row],[Kamate]]</f>
        <v>19013.194992346813</v>
      </c>
      <c r="E35" s="4">
        <f>E34-Table16[[#This Row],[Otplatna kvota]]</f>
        <v>19203.326942270251</v>
      </c>
    </row>
    <row r="36" spans="1:5" x14ac:dyDescent="0.25">
      <c r="B36" s="4">
        <f>B35</f>
        <v>19395.360211692983</v>
      </c>
      <c r="C36" s="4">
        <f t="shared" si="1"/>
        <v>192.03326942270269</v>
      </c>
      <c r="D36" s="4">
        <f>Table16[[#This Row],[Anuitet]]-Table16[[#This Row],[Kamate]]</f>
        <v>19203.32694227028</v>
      </c>
      <c r="E36" s="4">
        <f>E35-Table16[[#This Row],[Otplatna kvota]]</f>
        <v>-2.9103830456733704E-11</v>
      </c>
    </row>
    <row r="37" spans="1:5" x14ac:dyDescent="0.25">
      <c r="A37" t="s">
        <v>37</v>
      </c>
      <c r="B37" s="4">
        <f>SUM(B16:B36)</f>
        <v>387907.20423385967</v>
      </c>
      <c r="C37" s="4">
        <f>SUM(C16:C36)</f>
        <v>41407.20423385968</v>
      </c>
      <c r="D37" s="4">
        <f>SUM(D16:D36)</f>
        <v>350000</v>
      </c>
    </row>
    <row r="49" spans="1:1" x14ac:dyDescent="0.25">
      <c r="A49" s="1"/>
    </row>
  </sheetData>
  <pageMargins left="0.7" right="0.7" top="0.75" bottom="0.75" header="0.3" footer="0.3"/>
  <drawing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
  <sheetViews>
    <sheetView workbookViewId="0">
      <selection activeCell="C5" sqref="C5"/>
    </sheetView>
  </sheetViews>
  <sheetFormatPr defaultRowHeight="15" x14ac:dyDescent="0.25"/>
  <cols>
    <col min="2" max="2" width="32.7109375" customWidth="1"/>
    <col min="3" max="3" width="19.85546875" customWidth="1"/>
    <col min="4" max="4" width="14.28515625" customWidth="1"/>
  </cols>
  <sheetData>
    <row r="2" spans="2:7" x14ac:dyDescent="0.25">
      <c r="B2" s="18" t="s">
        <v>126</v>
      </c>
      <c r="C2" s="19" t="s">
        <v>39</v>
      </c>
      <c r="D2" t="s">
        <v>40</v>
      </c>
    </row>
    <row r="3" spans="2:7" x14ac:dyDescent="0.25">
      <c r="B3" s="3" t="s">
        <v>127</v>
      </c>
      <c r="C3" s="3"/>
      <c r="D3" s="20"/>
    </row>
    <row r="4" spans="2:7" x14ac:dyDescent="0.25">
      <c r="D4" s="5"/>
    </row>
    <row r="5" spans="2:7" x14ac:dyDescent="0.25">
      <c r="B5" t="s">
        <v>128</v>
      </c>
      <c r="C5" s="4">
        <f>D7+D11-D15</f>
        <v>1344.2739726027394</v>
      </c>
      <c r="D5" s="5"/>
    </row>
    <row r="6" spans="2:7" x14ac:dyDescent="0.25">
      <c r="D6" s="5"/>
    </row>
    <row r="7" spans="2:7" x14ac:dyDescent="0.25">
      <c r="B7" t="s">
        <v>129</v>
      </c>
      <c r="D7" s="2">
        <f>C8*C9/365</f>
        <v>5150</v>
      </c>
      <c r="G7" s="3"/>
    </row>
    <row r="8" spans="2:7" x14ac:dyDescent="0.25">
      <c r="B8" t="s">
        <v>130</v>
      </c>
      <c r="C8" s="7">
        <f>'[1]Tijekovi,predpostavke,troškovi'!F9</f>
        <v>1879750</v>
      </c>
      <c r="D8" s="5"/>
    </row>
    <row r="9" spans="2:7" x14ac:dyDescent="0.25">
      <c r="B9" t="s">
        <v>131</v>
      </c>
      <c r="C9">
        <v>1</v>
      </c>
      <c r="D9" s="5"/>
    </row>
    <row r="10" spans="2:7" x14ac:dyDescent="0.25">
      <c r="D10" s="5"/>
    </row>
    <row r="11" spans="2:7" x14ac:dyDescent="0.25">
      <c r="B11" t="s">
        <v>132</v>
      </c>
      <c r="D11" s="2">
        <f>C12*C13/365</f>
        <v>10476</v>
      </c>
    </row>
    <row r="12" spans="2:7" x14ac:dyDescent="0.25">
      <c r="B12" t="s">
        <v>133</v>
      </c>
      <c r="C12" s="2">
        <f>'[1]Tijekovi,predpostavke,troškovi'!F21</f>
        <v>637290</v>
      </c>
      <c r="D12" s="5"/>
    </row>
    <row r="13" spans="2:7" x14ac:dyDescent="0.25">
      <c r="B13" t="s">
        <v>134</v>
      </c>
      <c r="C13">
        <v>6</v>
      </c>
      <c r="D13" s="5"/>
    </row>
    <row r="14" spans="2:7" x14ac:dyDescent="0.25">
      <c r="D14" s="5"/>
    </row>
    <row r="15" spans="2:7" ht="30" x14ac:dyDescent="0.25">
      <c r="B15" s="11" t="s">
        <v>135</v>
      </c>
      <c r="D15" s="21">
        <f>C16*C17/365</f>
        <v>14281.726027397261</v>
      </c>
    </row>
    <row r="16" spans="2:7" x14ac:dyDescent="0.25">
      <c r="B16" t="s">
        <v>136</v>
      </c>
      <c r="C16" s="2">
        <f>SUM('[1]Tijekovi,predpostavke,troškovi'!C68:C70)</f>
        <v>744690</v>
      </c>
      <c r="D16" s="5"/>
    </row>
    <row r="17" spans="2:4" x14ac:dyDescent="0.25">
      <c r="B17" s="1" t="s">
        <v>137</v>
      </c>
      <c r="C17">
        <v>7</v>
      </c>
      <c r="D17" s="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11"/>
  <sheetViews>
    <sheetView topLeftCell="C14" workbookViewId="0">
      <selection activeCell="N27" sqref="N27"/>
    </sheetView>
  </sheetViews>
  <sheetFormatPr defaultRowHeight="15" x14ac:dyDescent="0.25"/>
  <cols>
    <col min="1" max="1" width="34.42578125" bestFit="1" customWidth="1"/>
    <col min="2" max="2" width="28.42578125" bestFit="1" customWidth="1"/>
    <col min="3" max="3" width="15" bestFit="1" customWidth="1"/>
    <col min="4" max="4" width="15.85546875" bestFit="1" customWidth="1"/>
    <col min="5" max="5" width="16.28515625" bestFit="1" customWidth="1"/>
    <col min="6" max="6" width="15.85546875" bestFit="1" customWidth="1"/>
    <col min="7" max="7" width="14.28515625" bestFit="1" customWidth="1"/>
    <col min="8" max="8" width="15.85546875" bestFit="1" customWidth="1"/>
    <col min="9" max="9" width="14.28515625" bestFit="1" customWidth="1"/>
    <col min="10" max="16" width="12" customWidth="1"/>
  </cols>
  <sheetData>
    <row r="2" spans="1:12" x14ac:dyDescent="0.25">
      <c r="A2" t="s">
        <v>39</v>
      </c>
      <c r="B2" t="s">
        <v>209</v>
      </c>
      <c r="C2" t="s">
        <v>210</v>
      </c>
      <c r="D2" t="s">
        <v>211</v>
      </c>
      <c r="E2" t="s">
        <v>212</v>
      </c>
      <c r="F2" t="s">
        <v>213</v>
      </c>
      <c r="G2" t="s">
        <v>214</v>
      </c>
    </row>
    <row r="3" spans="1:12" x14ac:dyDescent="0.25">
      <c r="A3" s="44" t="s">
        <v>200</v>
      </c>
      <c r="B3" s="7">
        <f>SUM(B4:B7)</f>
        <v>3500</v>
      </c>
      <c r="C3" s="7">
        <f t="shared" ref="C3:G3" si="0">SUM(C4:C7)</f>
        <v>586340</v>
      </c>
      <c r="D3" s="7">
        <f t="shared" si="0"/>
        <v>583719</v>
      </c>
      <c r="E3" s="7">
        <f t="shared" si="0"/>
        <v>580992</v>
      </c>
      <c r="F3" s="7">
        <f t="shared" si="0"/>
        <v>578154</v>
      </c>
      <c r="G3" s="7">
        <f t="shared" si="0"/>
        <v>575201</v>
      </c>
      <c r="I3">
        <v>1</v>
      </c>
      <c r="J3" s="2">
        <f>C25</f>
        <v>112055</v>
      </c>
      <c r="K3" s="65">
        <f>((J4/J3)-1)</f>
        <v>0.12363571460443534</v>
      </c>
      <c r="L3" s="2">
        <f>'Ulaganje,prihodi,rashodi'!E41</f>
        <v>637290</v>
      </c>
    </row>
    <row r="4" spans="1:12" x14ac:dyDescent="0.25">
      <c r="A4" s="1" t="s">
        <v>201</v>
      </c>
      <c r="B4" s="7"/>
      <c r="C4" s="7">
        <f>'Ulaganje,prihodi,rashodi'!L30</f>
        <v>41700</v>
      </c>
      <c r="D4" s="7">
        <f>'Ulaganje,prihodi,rashodi'!L30</f>
        <v>41700</v>
      </c>
      <c r="E4" s="7">
        <f>'Ulaganje,prihodi,rashodi'!M30</f>
        <v>41700</v>
      </c>
      <c r="F4" s="7">
        <f>'Ulaganje,prihodi,rashodi'!N30</f>
        <v>41700</v>
      </c>
      <c r="G4" s="7">
        <f>'Ulaganje,prihodi,rashodi'!O30</f>
        <v>41700</v>
      </c>
      <c r="H4" s="2"/>
      <c r="I4">
        <v>2</v>
      </c>
      <c r="J4" s="2">
        <f>E25</f>
        <v>125909</v>
      </c>
      <c r="K4" s="65">
        <f t="shared" ref="K4:K6" si="1">((J5/J4)-1)</f>
        <v>0.2203972710449611</v>
      </c>
      <c r="L4" s="2">
        <f>(L3*20%)+L3</f>
        <v>764748</v>
      </c>
    </row>
    <row r="5" spans="1:12" x14ac:dyDescent="0.25">
      <c r="A5" t="s">
        <v>202</v>
      </c>
      <c r="B5" s="2"/>
      <c r="C5" s="2">
        <f>'Ulaganje,prihodi,rashodi'!$D$17</f>
        <v>528000</v>
      </c>
      <c r="D5" s="2">
        <f>'Ulaganje,prihodi,rashodi'!$D$17</f>
        <v>528000</v>
      </c>
      <c r="E5" s="2">
        <f>'Ulaganje,prihodi,rashodi'!$D$17</f>
        <v>528000</v>
      </c>
      <c r="F5" s="2">
        <f>'Ulaganje,prihodi,rashodi'!$D$17</f>
        <v>528000</v>
      </c>
      <c r="G5" s="2">
        <f>'Ulaganje,prihodi,rashodi'!$D$17</f>
        <v>528000</v>
      </c>
      <c r="I5">
        <v>3</v>
      </c>
      <c r="J5" s="2">
        <f>G25</f>
        <v>153659</v>
      </c>
      <c r="K5" s="65">
        <f t="shared" si="1"/>
        <v>0.26161825861160093</v>
      </c>
      <c r="L5" s="2">
        <f>(L4*30%)+L4</f>
        <v>994172.4</v>
      </c>
    </row>
    <row r="6" spans="1:12" x14ac:dyDescent="0.25">
      <c r="A6" t="s">
        <v>10</v>
      </c>
      <c r="B6" s="2">
        <f>Otpl.kredita!I28</f>
        <v>3500</v>
      </c>
      <c r="C6" s="2">
        <f>Otpl.kredita!J28</f>
        <v>13040</v>
      </c>
      <c r="D6" s="2">
        <f>Otpl.kredita!K28</f>
        <v>10419</v>
      </c>
      <c r="E6" s="2">
        <f>Otpl.kredita!L28</f>
        <v>7692</v>
      </c>
      <c r="F6" s="2">
        <f>Otpl.kredita!M28</f>
        <v>4854</v>
      </c>
      <c r="G6" s="2">
        <f>Otpl.kredita!N28</f>
        <v>1901</v>
      </c>
      <c r="I6">
        <v>4</v>
      </c>
      <c r="J6" s="2">
        <f>I25</f>
        <v>193859</v>
      </c>
      <c r="K6" s="65">
        <f t="shared" si="1"/>
        <v>0.29400750029660738</v>
      </c>
      <c r="L6" s="2">
        <f>(L5*35%)+L5</f>
        <v>1342132.74</v>
      </c>
    </row>
    <row r="7" spans="1:12" x14ac:dyDescent="0.25">
      <c r="A7" t="s">
        <v>203</v>
      </c>
      <c r="B7" s="2"/>
      <c r="C7" s="2">
        <f>'Ulaganje,prihodi,rashodi'!$B$52* 0.3</f>
        <v>3600</v>
      </c>
      <c r="D7" s="2">
        <f>'Ulaganje,prihodi,rashodi'!$B$52* 0.3</f>
        <v>3600</v>
      </c>
      <c r="E7" s="2">
        <f>'Ulaganje,prihodi,rashodi'!$B$52* 0.3</f>
        <v>3600</v>
      </c>
      <c r="F7" s="2">
        <f>'Ulaganje,prihodi,rashodi'!$B$52* 0.3</f>
        <v>3600</v>
      </c>
      <c r="G7" s="2">
        <f>'Ulaganje,prihodi,rashodi'!$B$52* 0.3</f>
        <v>3600</v>
      </c>
      <c r="I7">
        <v>5</v>
      </c>
      <c r="J7" s="2">
        <f>K25</f>
        <v>250855</v>
      </c>
      <c r="K7" s="65">
        <v>0</v>
      </c>
      <c r="L7" s="2">
        <f>(L6*40%)+L6</f>
        <v>1878985.8360000001</v>
      </c>
    </row>
    <row r="8" spans="1:12" x14ac:dyDescent="0.25">
      <c r="A8" s="35" t="s">
        <v>204</v>
      </c>
      <c r="B8" s="2">
        <f>SUM(B11:B13)</f>
        <v>0</v>
      </c>
      <c r="C8" s="2">
        <f>SUM(C11:C13)</f>
        <v>741090</v>
      </c>
      <c r="D8" s="2">
        <f>SUM(D11:D13)</f>
        <v>868548</v>
      </c>
      <c r="E8" s="2">
        <f t="shared" ref="E8:G8" si="2">SUM(E11:E13)</f>
        <v>1097972.3999999999</v>
      </c>
      <c r="F8" s="2">
        <f t="shared" si="2"/>
        <v>1445932.74</v>
      </c>
      <c r="G8" s="2">
        <f t="shared" si="2"/>
        <v>1982785.8360000001</v>
      </c>
    </row>
    <row r="9" spans="1:12" x14ac:dyDescent="0.25">
      <c r="A9" s="35" t="s">
        <v>215</v>
      </c>
      <c r="B9" s="2"/>
      <c r="C9" s="2">
        <f>C25</f>
        <v>112055</v>
      </c>
      <c r="D9" s="2">
        <f>E25</f>
        <v>125909</v>
      </c>
      <c r="E9" s="2">
        <f>G25</f>
        <v>153659</v>
      </c>
      <c r="F9" s="2">
        <f>I25</f>
        <v>193859</v>
      </c>
      <c r="G9" s="2">
        <f>K25</f>
        <v>250855</v>
      </c>
    </row>
    <row r="10" spans="1:12" x14ac:dyDescent="0.25">
      <c r="A10" s="35" t="s">
        <v>216</v>
      </c>
      <c r="B10" s="2"/>
      <c r="C10" s="4">
        <f>C8/C9</f>
        <v>6.6136272366248718</v>
      </c>
      <c r="D10" s="4">
        <f t="shared" ref="D10:G10" si="3">D8/D9</f>
        <v>6.8982201431192367</v>
      </c>
      <c r="E10" s="4">
        <f t="shared" si="3"/>
        <v>7.1455131167064732</v>
      </c>
      <c r="F10" s="4">
        <f t="shared" si="3"/>
        <v>7.4586825476248197</v>
      </c>
      <c r="G10" s="4">
        <f t="shared" si="3"/>
        <v>7.9041112834107361</v>
      </c>
    </row>
    <row r="11" spans="1:12" x14ac:dyDescent="0.25">
      <c r="A11" t="s">
        <v>205</v>
      </c>
      <c r="B11" s="2"/>
      <c r="C11" s="2">
        <f>'Ulaganje,prihodi,rashodi'!$E$41</f>
        <v>637290</v>
      </c>
      <c r="D11" s="2">
        <f>L4</f>
        <v>764748</v>
      </c>
      <c r="E11" s="2">
        <f>L5</f>
        <v>994172.4</v>
      </c>
      <c r="F11" s="2">
        <f>L6</f>
        <v>1342132.74</v>
      </c>
      <c r="G11" s="2">
        <f>L7</f>
        <v>1878985.8360000001</v>
      </c>
    </row>
    <row r="12" spans="1:12" x14ac:dyDescent="0.25">
      <c r="A12" t="s">
        <v>206</v>
      </c>
      <c r="B12" s="2"/>
      <c r="C12" s="2">
        <f>'Ulaganje,prihodi,rashodi'!$C$48</f>
        <v>95400</v>
      </c>
      <c r="D12" s="2">
        <f>'Ulaganje,prihodi,rashodi'!$C$48</f>
        <v>95400</v>
      </c>
      <c r="E12" s="2">
        <f>'Ulaganje,prihodi,rashodi'!$C$48</f>
        <v>95400</v>
      </c>
      <c r="F12" s="2">
        <f>'Ulaganje,prihodi,rashodi'!$C$48</f>
        <v>95400</v>
      </c>
      <c r="G12" s="2">
        <f>'Ulaganje,prihodi,rashodi'!$C$48</f>
        <v>95400</v>
      </c>
    </row>
    <row r="13" spans="1:12" x14ac:dyDescent="0.25">
      <c r="A13" t="s">
        <v>207</v>
      </c>
      <c r="B13" s="2"/>
      <c r="C13" s="2">
        <f>'Ulaganje,prihodi,rashodi'!$B$52*0.7</f>
        <v>8400</v>
      </c>
      <c r="D13" s="2">
        <f>'Ulaganje,prihodi,rashodi'!$B$52*0.7</f>
        <v>8400</v>
      </c>
      <c r="E13" s="2">
        <f>'Ulaganje,prihodi,rashodi'!$B$52*0.7</f>
        <v>8400</v>
      </c>
      <c r="F13" s="2">
        <f>'Ulaganje,prihodi,rashodi'!$B$52*0.7</f>
        <v>8400</v>
      </c>
      <c r="G13" s="2">
        <f>'Ulaganje,prihodi,rashodi'!$B$52*0.7</f>
        <v>8400</v>
      </c>
    </row>
    <row r="14" spans="1:12" x14ac:dyDescent="0.25">
      <c r="A14" s="35" t="s">
        <v>208</v>
      </c>
      <c r="B14" s="2">
        <f t="shared" ref="B14:G14" si="4">SUM(B3+B8)</f>
        <v>3500</v>
      </c>
      <c r="C14" s="2">
        <f>SUM(C3+C8)</f>
        <v>1327430</v>
      </c>
      <c r="D14" s="2">
        <f t="shared" si="4"/>
        <v>1452267</v>
      </c>
      <c r="E14" s="2">
        <f t="shared" si="4"/>
        <v>1678964.4</v>
      </c>
      <c r="F14" s="2">
        <f t="shared" si="4"/>
        <v>2024086.74</v>
      </c>
      <c r="G14" s="2">
        <f t="shared" si="4"/>
        <v>2557986.8360000001</v>
      </c>
    </row>
    <row r="15" spans="1:12" x14ac:dyDescent="0.25">
      <c r="A15" s="35"/>
      <c r="B15" s="2"/>
      <c r="C15" s="2"/>
      <c r="D15" s="2"/>
      <c r="E15" s="2"/>
      <c r="F15" s="2"/>
      <c r="G15" s="2"/>
    </row>
    <row r="17" spans="1:14" x14ac:dyDescent="0.25">
      <c r="A17" t="s">
        <v>39</v>
      </c>
      <c r="B17" t="s">
        <v>40</v>
      </c>
      <c r="C17" t="s">
        <v>223</v>
      </c>
      <c r="D17" t="s">
        <v>142</v>
      </c>
      <c r="E17" t="s">
        <v>224</v>
      </c>
      <c r="F17" t="s">
        <v>144</v>
      </c>
      <c r="G17" t="s">
        <v>225</v>
      </c>
      <c r="H17" t="s">
        <v>164</v>
      </c>
      <c r="I17" t="s">
        <v>226</v>
      </c>
      <c r="J17" t="s">
        <v>166</v>
      </c>
      <c r="K17" t="s">
        <v>227</v>
      </c>
      <c r="L17" t="s">
        <v>217</v>
      </c>
      <c r="M17" t="s">
        <v>228</v>
      </c>
      <c r="N17" t="s">
        <v>218</v>
      </c>
    </row>
    <row r="18" spans="1:14" x14ac:dyDescent="0.25">
      <c r="A18" t="s">
        <v>219</v>
      </c>
      <c r="B18" t="s">
        <v>220</v>
      </c>
      <c r="C18" t="s">
        <v>221</v>
      </c>
      <c r="D18" t="s">
        <v>222</v>
      </c>
      <c r="E18" t="s">
        <v>221</v>
      </c>
      <c r="F18" t="s">
        <v>222</v>
      </c>
      <c r="G18" t="s">
        <v>221</v>
      </c>
      <c r="H18" t="s">
        <v>222</v>
      </c>
      <c r="I18" t="s">
        <v>221</v>
      </c>
      <c r="J18" t="s">
        <v>222</v>
      </c>
      <c r="K18" t="s">
        <v>221</v>
      </c>
      <c r="L18" t="s">
        <v>222</v>
      </c>
      <c r="M18" t="s">
        <v>221</v>
      </c>
      <c r="N18" t="s">
        <v>222</v>
      </c>
    </row>
    <row r="19" spans="1:14" x14ac:dyDescent="0.25">
      <c r="A19" s="1" t="s">
        <v>63</v>
      </c>
      <c r="B19" s="47">
        <v>26</v>
      </c>
      <c r="C19" s="7">
        <f>45*365</f>
        <v>16425</v>
      </c>
      <c r="D19" s="2">
        <f>Table23[[#This Row],[Column2]]*Table23[[#This Row],[1]]</f>
        <v>427050</v>
      </c>
      <c r="E19" s="2">
        <v>20777</v>
      </c>
      <c r="F19" s="2">
        <f>Table23[[#This Row],[Column2]]*Table23[[#This Row],[2]]</f>
        <v>540202</v>
      </c>
      <c r="G19" s="2">
        <v>28111</v>
      </c>
      <c r="H19" s="2">
        <f>Table23[[#This Row],[Column2]]*Table23[[#This Row],[3]]</f>
        <v>730886</v>
      </c>
      <c r="I19" s="2">
        <v>42000</v>
      </c>
      <c r="J19" s="2">
        <f>Table23[[#This Row],[Column2]]*Table23[[#This Row],[4]]</f>
        <v>1092000</v>
      </c>
      <c r="K19" s="2">
        <v>70976</v>
      </c>
      <c r="L19" s="2">
        <f>Table23[[#This Row],[Column2]]*Table23[[#This Row],[5]]</f>
        <v>1845376</v>
      </c>
      <c r="M19" s="2">
        <f>(Table23[[#This Row],[1]]+Table23[[#This Row],[2]]+Table23[[#This Row],[3]]+Table23[[#This Row],[4]]+Table23[[#This Row],[5]])/5</f>
        <v>35657.800000000003</v>
      </c>
      <c r="N19" s="2">
        <f>Table23[[#This Row],[Column2]]*Table23[[#This Row],[pro]]</f>
        <v>927102.8</v>
      </c>
    </row>
    <row r="20" spans="1:14" x14ac:dyDescent="0.25">
      <c r="A20" t="s">
        <v>64</v>
      </c>
      <c r="B20" s="47">
        <v>8</v>
      </c>
      <c r="C20" s="2">
        <f>62*365</f>
        <v>22630</v>
      </c>
      <c r="D20" s="2">
        <f>Table23[[#This Row],[Column2]]*Table23[[#This Row],[1]]</f>
        <v>181040</v>
      </c>
      <c r="E20" s="2">
        <v>22700</v>
      </c>
      <c r="F20" s="2">
        <f>Table23[[#This Row],[Column2]]*Table23[[#This Row],[2]]</f>
        <v>181600</v>
      </c>
      <c r="G20" s="2">
        <v>25234</v>
      </c>
      <c r="H20" s="2">
        <f>Table23[[#This Row],[Column2]]*Table23[[#This Row],[3]]</f>
        <v>201872</v>
      </c>
      <c r="I20" s="2">
        <v>27998</v>
      </c>
      <c r="J20" s="2">
        <f>Table23[[#This Row],[Column2]]*Table23[[#This Row],[4]]</f>
        <v>223984</v>
      </c>
      <c r="K20" s="2">
        <v>28739</v>
      </c>
      <c r="L20" s="2">
        <f>Table23[[#This Row],[Column2]]*Table23[[#This Row],[5]]</f>
        <v>229912</v>
      </c>
      <c r="M20" s="2">
        <f>(Table23[[#This Row],[1]]+Table23[[#This Row],[2]]+Table23[[#This Row],[3]]+Table23[[#This Row],[4]]+Table23[[#This Row],[5]])/5</f>
        <v>25460.2</v>
      </c>
      <c r="N20" s="2">
        <f>Table23[[#This Row],[Column2]]*Table23[[#This Row],[pro]]</f>
        <v>203681.6</v>
      </c>
    </row>
    <row r="21" spans="1:14" x14ac:dyDescent="0.25">
      <c r="A21" t="s">
        <v>65</v>
      </c>
      <c r="B21" s="47">
        <v>10</v>
      </c>
      <c r="C21" s="2">
        <f>65*365</f>
        <v>23725</v>
      </c>
      <c r="D21" s="2">
        <f>Table23[[#This Row],[Column2]]*Table23[[#This Row],[1]]</f>
        <v>237250</v>
      </c>
      <c r="E21" s="2">
        <v>23899</v>
      </c>
      <c r="F21" s="2">
        <f>Table23[[#This Row],[Column2]]*Table23[[#This Row],[2]]</f>
        <v>238990</v>
      </c>
      <c r="G21" s="2">
        <v>27245</v>
      </c>
      <c r="H21" s="2">
        <f>Table23[[#This Row],[Column2]]*Table23[[#This Row],[3]]</f>
        <v>272450</v>
      </c>
      <c r="I21" s="2">
        <v>32098</v>
      </c>
      <c r="J21" s="2">
        <f>Table23[[#This Row],[Column2]]*Table23[[#This Row],[4]]</f>
        <v>320980</v>
      </c>
      <c r="K21" s="2">
        <v>38811</v>
      </c>
      <c r="L21" s="2">
        <f>Table23[[#This Row],[Column2]]*Table23[[#This Row],[5]]</f>
        <v>388110</v>
      </c>
      <c r="M21" s="2">
        <f>(Table23[[#This Row],[1]]+Table23[[#This Row],[2]]+Table23[[#This Row],[3]]+Table23[[#This Row],[4]]+Table23[[#This Row],[5]])/5</f>
        <v>29155.599999999999</v>
      </c>
      <c r="N21" s="2">
        <f>Table23[[#This Row],[Column2]]*Table23[[#This Row],[pro]]</f>
        <v>291556</v>
      </c>
    </row>
    <row r="22" spans="1:14" x14ac:dyDescent="0.25">
      <c r="A22" s="1" t="s">
        <v>66</v>
      </c>
      <c r="B22" s="47">
        <v>12</v>
      </c>
      <c r="C22" s="7">
        <f>31*365</f>
        <v>11315</v>
      </c>
      <c r="D22" s="2">
        <f>Table23[[#This Row],[Column2]]*Table23[[#This Row],[1]]</f>
        <v>135780</v>
      </c>
      <c r="E22" s="2">
        <v>13001</v>
      </c>
      <c r="F22" s="2">
        <f>Table23[[#This Row],[Column2]]*Table23[[#This Row],[2]]</f>
        <v>156012</v>
      </c>
      <c r="G22" s="2">
        <v>18280</v>
      </c>
      <c r="H22" s="2">
        <f>Table23[[#This Row],[Column2]]*Table23[[#This Row],[3]]</f>
        <v>219360</v>
      </c>
      <c r="I22" s="2">
        <v>24109</v>
      </c>
      <c r="J22" s="2">
        <f>Table23[[#This Row],[Column2]]*Table23[[#This Row],[4]]</f>
        <v>289308</v>
      </c>
      <c r="K22" s="2">
        <v>26176</v>
      </c>
      <c r="L22" s="2">
        <f>Table23[[#This Row],[Column2]]*Table23[[#This Row],[5]]</f>
        <v>314112</v>
      </c>
      <c r="M22" s="2">
        <f>(Table23[[#This Row],[1]]+Table23[[#This Row],[2]]+Table23[[#This Row],[3]]+Table23[[#This Row],[4]]+Table23[[#This Row],[5]])/5</f>
        <v>18576.2</v>
      </c>
      <c r="N22" s="2">
        <f>Table23[[#This Row],[Column2]]*Table23[[#This Row],[pro]]</f>
        <v>222914.40000000002</v>
      </c>
    </row>
    <row r="23" spans="1:14" ht="30" x14ac:dyDescent="0.25">
      <c r="A23" s="45" t="s">
        <v>67</v>
      </c>
      <c r="B23" s="48">
        <v>35</v>
      </c>
      <c r="C23" s="50">
        <f>42*365</f>
        <v>15330</v>
      </c>
      <c r="D23" s="51">
        <f>Table23[[#This Row],[Column2]]*Table23[[#This Row],[1]]</f>
        <v>536550</v>
      </c>
      <c r="E23" s="51">
        <v>20422</v>
      </c>
      <c r="F23" s="51">
        <f>Table23[[#This Row],[Column2]]*Table23[[#This Row],[2]]</f>
        <v>714770</v>
      </c>
      <c r="G23" s="51">
        <v>28789</v>
      </c>
      <c r="H23" s="51">
        <f>Table23[[#This Row],[Column2]]*Table23[[#This Row],[3]]</f>
        <v>1007615</v>
      </c>
      <c r="I23" s="51">
        <v>40654</v>
      </c>
      <c r="J23" s="51">
        <f>Table23[[#This Row],[Column2]]*Table23[[#This Row],[4]]</f>
        <v>1422890</v>
      </c>
      <c r="K23" s="51">
        <v>55399</v>
      </c>
      <c r="L23" s="51">
        <f>Table23[[#This Row],[Column2]]*Table23[[#This Row],[5]]</f>
        <v>1938965</v>
      </c>
      <c r="M23" s="51">
        <f>(Table23[[#This Row],[1]]+Table23[[#This Row],[2]]+Table23[[#This Row],[3]]+Table23[[#This Row],[4]]+Table23[[#This Row],[5]])/5</f>
        <v>32118.799999999999</v>
      </c>
      <c r="N23" s="51">
        <f>Table23[[#This Row],[Column2]]*Table23[[#This Row],[pro]]</f>
        <v>1124158</v>
      </c>
    </row>
    <row r="24" spans="1:14" x14ac:dyDescent="0.25">
      <c r="A24" t="s">
        <v>68</v>
      </c>
      <c r="B24" s="52">
        <v>16</v>
      </c>
      <c r="C24" s="54">
        <f>62*365</f>
        <v>22630</v>
      </c>
      <c r="D24" s="55">
        <f>Table23[[#This Row],[Column2]]*Table23[[#This Row],[1]]</f>
        <v>362080</v>
      </c>
      <c r="E24" s="55">
        <v>25110</v>
      </c>
      <c r="F24" s="55">
        <f>Table23[[#This Row],[Column2]]*Table23[[#This Row],[2]]</f>
        <v>401760</v>
      </c>
      <c r="G24" s="55">
        <v>26000</v>
      </c>
      <c r="H24" s="55">
        <f>Table23[[#This Row],[Column2]]*Table23[[#This Row],[3]]</f>
        <v>416000</v>
      </c>
      <c r="I24" s="55">
        <v>27000</v>
      </c>
      <c r="J24" s="55">
        <f>Table23[[#This Row],[Column2]]*Table23[[#This Row],[4]]</f>
        <v>432000</v>
      </c>
      <c r="K24" s="55">
        <v>30754</v>
      </c>
      <c r="L24" s="55">
        <f>Table23[[#This Row],[Column2]]*Table23[[#This Row],[5]]</f>
        <v>492064</v>
      </c>
      <c r="M24" s="55">
        <f>(Table23[[#This Row],[1]]+Table23[[#This Row],[2]]+Table23[[#This Row],[3]]+Table23[[#This Row],[4]]+Table23[[#This Row],[5]])/5</f>
        <v>26298.799999999999</v>
      </c>
      <c r="N24" s="55">
        <f>Table23[[#This Row],[Column2]]*Table23[[#This Row],[pro]]</f>
        <v>420780.79999999999</v>
      </c>
    </row>
    <row r="25" spans="1:14" x14ac:dyDescent="0.25">
      <c r="A25" t="s">
        <v>229</v>
      </c>
      <c r="B25" s="52"/>
      <c r="C25" s="55">
        <f>SUM(C19:C24)</f>
        <v>112055</v>
      </c>
      <c r="D25" s="55">
        <f>SUM(D19:D24)</f>
        <v>1879750</v>
      </c>
      <c r="E25" s="55">
        <f>SUM(E19:E24)</f>
        <v>125909</v>
      </c>
      <c r="F25" s="55">
        <f t="shared" ref="F25:N25" si="5">SUM(F19:F24)</f>
        <v>2233334</v>
      </c>
      <c r="G25" s="55">
        <f t="shared" si="5"/>
        <v>153659</v>
      </c>
      <c r="H25" s="55">
        <f t="shared" si="5"/>
        <v>2848183</v>
      </c>
      <c r="I25" s="55">
        <f t="shared" si="5"/>
        <v>193859</v>
      </c>
      <c r="J25" s="55">
        <f t="shared" si="5"/>
        <v>3781162</v>
      </c>
      <c r="K25" s="55">
        <f t="shared" si="5"/>
        <v>250855</v>
      </c>
      <c r="L25" s="55">
        <f t="shared" si="5"/>
        <v>5208539</v>
      </c>
      <c r="M25" s="55">
        <f t="shared" si="5"/>
        <v>167267.4</v>
      </c>
      <c r="N25" s="55">
        <f t="shared" si="5"/>
        <v>3190193.6</v>
      </c>
    </row>
    <row r="26" spans="1:14" x14ac:dyDescent="0.25">
      <c r="A26" t="s">
        <v>230</v>
      </c>
      <c r="B26" s="53"/>
      <c r="C26" s="55"/>
      <c r="D26" s="57">
        <f>D25/C25</f>
        <v>16.775244299674267</v>
      </c>
      <c r="E26" s="57"/>
      <c r="F26" s="57">
        <f>F25/E25</f>
        <v>17.737683565114487</v>
      </c>
      <c r="G26" s="57"/>
      <c r="H26" s="57">
        <f>H25/G25</f>
        <v>18.535738225551384</v>
      </c>
      <c r="I26" s="57"/>
      <c r="J26" s="57">
        <f>J25/I25</f>
        <v>19.504701870947443</v>
      </c>
      <c r="K26" s="57"/>
      <c r="L26" s="57">
        <f>L25/K25</f>
        <v>20.763146040541347</v>
      </c>
      <c r="M26" s="55"/>
      <c r="N26" s="55">
        <f>N25/M25</f>
        <v>19.072416980236437</v>
      </c>
    </row>
    <row r="27" spans="1:14" x14ac:dyDescent="0.25">
      <c r="B27" s="53"/>
      <c r="C27" s="56"/>
      <c r="D27" s="56"/>
      <c r="E27" s="56"/>
      <c r="F27" s="56"/>
      <c r="G27" s="56"/>
      <c r="H27" s="56"/>
      <c r="I27" s="56"/>
      <c r="J27" s="56"/>
      <c r="K27" s="56"/>
      <c r="L27" s="56"/>
      <c r="M27" s="56"/>
      <c r="N27" s="56"/>
    </row>
    <row r="28" spans="1:14" x14ac:dyDescent="0.25">
      <c r="A28" t="s">
        <v>231</v>
      </c>
      <c r="B28" t="s">
        <v>239</v>
      </c>
      <c r="C28" s="2">
        <f>C25</f>
        <v>112055</v>
      </c>
      <c r="D28" s="2"/>
      <c r="E28" s="2">
        <f t="shared" ref="E28:K28" si="6">E25</f>
        <v>125909</v>
      </c>
      <c r="F28" s="2"/>
      <c r="G28" s="2">
        <f t="shared" si="6"/>
        <v>153659</v>
      </c>
      <c r="H28" s="2"/>
      <c r="I28" s="2">
        <f t="shared" si="6"/>
        <v>193859</v>
      </c>
      <c r="J28" s="2"/>
      <c r="K28" s="2">
        <f t="shared" si="6"/>
        <v>250855</v>
      </c>
      <c r="L28" s="2"/>
      <c r="M28" s="2">
        <f>AVERAGE(Table23[[#This Row],[1]:[Column12]])</f>
        <v>167267.4</v>
      </c>
      <c r="N28" s="2"/>
    </row>
    <row r="29" spans="1:14" x14ac:dyDescent="0.25">
      <c r="A29" t="s">
        <v>60</v>
      </c>
      <c r="B29" t="s">
        <v>240</v>
      </c>
      <c r="C29" s="2">
        <f>D26</f>
        <v>16.775244299674267</v>
      </c>
      <c r="D29" s="2"/>
      <c r="E29" s="2">
        <f t="shared" ref="E29:K29" si="7">F26</f>
        <v>17.737683565114487</v>
      </c>
      <c r="F29" s="2"/>
      <c r="G29" s="2">
        <f t="shared" si="7"/>
        <v>18.535738225551384</v>
      </c>
      <c r="H29" s="2"/>
      <c r="I29" s="2">
        <f t="shared" si="7"/>
        <v>19.504701870947443</v>
      </c>
      <c r="J29" s="2"/>
      <c r="K29" s="2">
        <f t="shared" si="7"/>
        <v>20.763146040541347</v>
      </c>
      <c r="L29" s="2"/>
      <c r="M29" s="2">
        <f>AVERAGE(Table23[[#This Row],[1]:[Column12]])</f>
        <v>18.663302800365784</v>
      </c>
      <c r="N29" s="46"/>
    </row>
    <row r="30" spans="1:14" x14ac:dyDescent="0.25">
      <c r="A30" t="s">
        <v>232</v>
      </c>
      <c r="B30" t="s">
        <v>241</v>
      </c>
      <c r="C30" s="14">
        <f>C10</f>
        <v>6.6136272366248718</v>
      </c>
      <c r="D30" s="14"/>
      <c r="E30" s="14">
        <f>D10</f>
        <v>6.8982201431192367</v>
      </c>
      <c r="F30" s="14"/>
      <c r="G30" s="14">
        <f>E10</f>
        <v>7.1455131167064732</v>
      </c>
      <c r="H30" s="14"/>
      <c r="I30" s="14">
        <f>F10</f>
        <v>7.4586825476248197</v>
      </c>
      <c r="J30" s="14"/>
      <c r="K30" s="14">
        <f>G10</f>
        <v>7.9041112834107361</v>
      </c>
      <c r="L30" s="14"/>
      <c r="M30" s="14">
        <f>AVERAGE(Table23[[#This Row],[1]:[Column12]])</f>
        <v>7.2040308654972263</v>
      </c>
    </row>
    <row r="31" spans="1:14" x14ac:dyDescent="0.25">
      <c r="A31" t="s">
        <v>233</v>
      </c>
      <c r="B31" t="s">
        <v>242</v>
      </c>
      <c r="C31" s="2">
        <f>C3</f>
        <v>586340</v>
      </c>
      <c r="D31" s="2"/>
      <c r="E31" s="2">
        <f>D3</f>
        <v>583719</v>
      </c>
      <c r="F31" s="2"/>
      <c r="G31" s="2">
        <f>E3</f>
        <v>580992</v>
      </c>
      <c r="H31" s="2"/>
      <c r="I31" s="2">
        <f>F3</f>
        <v>578154</v>
      </c>
      <c r="J31" s="2"/>
      <c r="K31" s="2">
        <f>G3</f>
        <v>575201</v>
      </c>
      <c r="L31" s="2"/>
      <c r="M31" s="2">
        <f>AVERAGE(Table23[[#This Row],[1]:[Column12]])</f>
        <v>580881.19999999995</v>
      </c>
    </row>
    <row r="32" spans="1:14" x14ac:dyDescent="0.25">
      <c r="A32" t="s">
        <v>234</v>
      </c>
      <c r="B32" t="s">
        <v>244</v>
      </c>
      <c r="C32" s="2">
        <f>C28*C29</f>
        <v>1879750</v>
      </c>
      <c r="D32" s="2"/>
      <c r="E32" s="2">
        <f t="shared" ref="E32:M32" si="8">E28*E29</f>
        <v>2233334</v>
      </c>
      <c r="F32" s="2"/>
      <c r="G32" s="2">
        <f t="shared" si="8"/>
        <v>2848183</v>
      </c>
      <c r="H32" s="2"/>
      <c r="I32" s="2">
        <f t="shared" si="8"/>
        <v>3781162.0000000005</v>
      </c>
      <c r="J32" s="2"/>
      <c r="K32" s="2">
        <f t="shared" si="8"/>
        <v>5208539</v>
      </c>
      <c r="L32" s="2"/>
      <c r="M32" s="2">
        <f t="shared" si="8"/>
        <v>3121762.1348299035</v>
      </c>
    </row>
    <row r="33" spans="1:13" x14ac:dyDescent="0.25">
      <c r="A33" t="s">
        <v>235</v>
      </c>
      <c r="B33" t="s">
        <v>243</v>
      </c>
      <c r="C33" s="2">
        <f>C28*C30</f>
        <v>741090</v>
      </c>
      <c r="D33" s="2"/>
      <c r="E33" s="2">
        <f>E28*E30</f>
        <v>868548</v>
      </c>
      <c r="F33" s="2"/>
      <c r="G33" s="2">
        <f t="shared" ref="G33:M33" si="9">G28*G30</f>
        <v>1097972.3999999999</v>
      </c>
      <c r="H33" s="2"/>
      <c r="I33" s="2">
        <f t="shared" si="9"/>
        <v>1445932.74</v>
      </c>
      <c r="J33" s="2"/>
      <c r="K33" s="2">
        <f t="shared" si="9"/>
        <v>1982785.8360000001</v>
      </c>
      <c r="L33" s="2"/>
      <c r="M33" s="2">
        <f t="shared" si="9"/>
        <v>1204999.5123914706</v>
      </c>
    </row>
    <row r="34" spans="1:13" x14ac:dyDescent="0.25">
      <c r="A34" t="s">
        <v>236</v>
      </c>
      <c r="B34" t="s">
        <v>245</v>
      </c>
      <c r="C34" s="2">
        <f>C31+C33</f>
        <v>1327430</v>
      </c>
      <c r="D34" s="2"/>
      <c r="E34" s="2">
        <f>E31+E33</f>
        <v>1452267</v>
      </c>
      <c r="F34" s="2"/>
      <c r="G34" s="2">
        <f t="shared" ref="G34:M34" si="10">G31+G33</f>
        <v>1678964.4</v>
      </c>
      <c r="H34" s="2"/>
      <c r="I34" s="2">
        <f t="shared" si="10"/>
        <v>2024086.74</v>
      </c>
      <c r="J34" s="2"/>
      <c r="K34" s="2">
        <f t="shared" si="10"/>
        <v>2557986.8360000001</v>
      </c>
      <c r="L34" s="2"/>
      <c r="M34" s="2">
        <f t="shared" si="10"/>
        <v>1785880.7123914706</v>
      </c>
    </row>
    <row r="35" spans="1:13" x14ac:dyDescent="0.25">
      <c r="A35" t="s">
        <v>237</v>
      </c>
      <c r="B35" t="s">
        <v>246</v>
      </c>
      <c r="C35" s="2">
        <f>C31/(C29-C30)</f>
        <v>57701.446173572447</v>
      </c>
      <c r="D35" s="2"/>
      <c r="E35" s="2">
        <f>E31/(E29-E30)</f>
        <v>53851.281864702592</v>
      </c>
      <c r="F35" s="2"/>
      <c r="G35" s="2">
        <f>G31/(G29-G30)</f>
        <v>51007.947116764117</v>
      </c>
      <c r="H35" s="2"/>
      <c r="I35" s="2">
        <f t="shared" ref="I35:M35" si="11">I31/(I29-I30)</f>
        <v>47995.440193311035</v>
      </c>
      <c r="J35" s="2"/>
      <c r="K35" s="2">
        <f t="shared" si="11"/>
        <v>44731.273448113097</v>
      </c>
      <c r="L35" s="2"/>
      <c r="M35" s="2">
        <f t="shared" si="11"/>
        <v>50690.934232259577</v>
      </c>
    </row>
    <row r="36" spans="1:13" x14ac:dyDescent="0.25">
      <c r="A36" t="s">
        <v>238</v>
      </c>
      <c r="B36" t="s">
        <v>247</v>
      </c>
      <c r="C36" s="2">
        <f>C32-C34</f>
        <v>552320</v>
      </c>
      <c r="D36" s="2"/>
      <c r="E36" s="2">
        <f t="shared" ref="E36:M36" si="12">E32-E34</f>
        <v>781067</v>
      </c>
      <c r="F36" s="2"/>
      <c r="G36" s="2">
        <f t="shared" si="12"/>
        <v>1169218.6000000001</v>
      </c>
      <c r="H36" s="2"/>
      <c r="I36" s="2">
        <f t="shared" si="12"/>
        <v>1757075.2600000005</v>
      </c>
      <c r="J36" s="2"/>
      <c r="K36" s="2">
        <f t="shared" si="12"/>
        <v>2650552.1639999999</v>
      </c>
      <c r="L36" s="2"/>
      <c r="M36" s="2">
        <f t="shared" si="12"/>
        <v>1335881.4224384329</v>
      </c>
    </row>
    <row r="39" spans="1:13" ht="15.75" thickBot="1" x14ac:dyDescent="0.3">
      <c r="A39" s="59">
        <f>M35</f>
        <v>50690.934232259577</v>
      </c>
      <c r="B39" s="60">
        <v>6.6</v>
      </c>
      <c r="C39" s="60">
        <v>6.9</v>
      </c>
      <c r="D39" s="60">
        <v>7.1</v>
      </c>
      <c r="E39" s="60">
        <v>7.5</v>
      </c>
      <c r="F39" s="60">
        <v>7.9</v>
      </c>
    </row>
    <row r="40" spans="1:13" ht="15.75" thickTop="1" x14ac:dyDescent="0.25">
      <c r="A40" s="58">
        <v>17</v>
      </c>
      <c r="B40" s="7">
        <f t="dataTable" ref="B40:F44" dt2D="1" dtr="1" r1="M30" r2="M29"/>
        <v>55853.961538461532</v>
      </c>
      <c r="C40" s="7">
        <v>57512.990099009898</v>
      </c>
      <c r="D40" s="7">
        <v>58674.868686868678</v>
      </c>
      <c r="E40" s="7">
        <v>61145.389473684205</v>
      </c>
      <c r="F40" s="7">
        <v>63833.0989010989</v>
      </c>
    </row>
    <row r="41" spans="1:13" x14ac:dyDescent="0.25">
      <c r="A41" s="58">
        <v>18</v>
      </c>
      <c r="B41" s="7">
        <v>50954.491228070168</v>
      </c>
      <c r="C41" s="7">
        <v>52331.639639639638</v>
      </c>
      <c r="D41" s="7">
        <v>53291.853211009169</v>
      </c>
      <c r="E41" s="7">
        <v>55322.01904761904</v>
      </c>
      <c r="F41" s="7">
        <v>57512.990099009898</v>
      </c>
    </row>
    <row r="42" spans="1:13" x14ac:dyDescent="0.25">
      <c r="A42" s="58">
        <v>19</v>
      </c>
      <c r="B42" s="7">
        <v>46845.258064516122</v>
      </c>
      <c r="C42" s="7">
        <v>48006.710743801654</v>
      </c>
      <c r="D42" s="7">
        <v>48813.54621848739</v>
      </c>
      <c r="E42" s="7">
        <v>50511.408695652171</v>
      </c>
      <c r="F42" s="7">
        <v>52331.639639639638</v>
      </c>
    </row>
    <row r="43" spans="1:13" x14ac:dyDescent="0.25">
      <c r="A43" s="58">
        <v>20</v>
      </c>
      <c r="B43" s="7">
        <v>43349.343283582086</v>
      </c>
      <c r="C43" s="7">
        <v>44342.076335877857</v>
      </c>
      <c r="D43" s="7">
        <v>45029.550387596893</v>
      </c>
      <c r="E43" s="7">
        <v>46470.495999999999</v>
      </c>
      <c r="F43" s="7">
        <v>48006.710743801654</v>
      </c>
    </row>
    <row r="44" spans="1:13" x14ac:dyDescent="0.25">
      <c r="A44" s="58">
        <v>21</v>
      </c>
      <c r="B44" s="7">
        <v>40338.972222222219</v>
      </c>
      <c r="C44" s="7">
        <v>41197.248226950353</v>
      </c>
      <c r="D44" s="7">
        <v>41790.014388489202</v>
      </c>
      <c r="E44" s="7">
        <v>43028.237037037034</v>
      </c>
      <c r="F44" s="7">
        <v>44342.076335877857</v>
      </c>
    </row>
    <row r="46" spans="1:13" x14ac:dyDescent="0.25">
      <c r="B46" s="53" t="s">
        <v>249</v>
      </c>
      <c r="C46" s="2">
        <f>MIN(B40:F44)</f>
        <v>40338.972222222219</v>
      </c>
    </row>
    <row r="47" spans="1:13" x14ac:dyDescent="0.25">
      <c r="B47" s="53" t="s">
        <v>250</v>
      </c>
      <c r="C47" s="2">
        <f>MAX(B40:F44)</f>
        <v>63833.0989010989</v>
      </c>
    </row>
    <row r="48" spans="1:13" x14ac:dyDescent="0.25">
      <c r="B48" s="53" t="s">
        <v>248</v>
      </c>
      <c r="C48" s="2">
        <f>C47-C46</f>
        <v>23494.126678876681</v>
      </c>
      <c r="D48" s="49">
        <f>C48/10</f>
        <v>2349.4126678876682</v>
      </c>
    </row>
    <row r="50" spans="1:12" x14ac:dyDescent="0.25">
      <c r="A50" s="61" t="s">
        <v>251</v>
      </c>
      <c r="B50" s="61">
        <v>40340</v>
      </c>
      <c r="C50" s="64">
        <v>42690</v>
      </c>
      <c r="D50" s="61">
        <v>45040</v>
      </c>
      <c r="E50" s="64">
        <v>47390</v>
      </c>
      <c r="F50" s="61">
        <v>49740</v>
      </c>
      <c r="G50" s="64">
        <v>52090</v>
      </c>
      <c r="H50" s="61">
        <v>54440</v>
      </c>
      <c r="I50" s="64">
        <v>56790</v>
      </c>
      <c r="J50" s="61">
        <v>59140</v>
      </c>
      <c r="K50" s="64">
        <v>61490</v>
      </c>
      <c r="L50" s="61">
        <v>63840</v>
      </c>
    </row>
    <row r="52" spans="1:12" x14ac:dyDescent="0.25">
      <c r="A52" s="66" t="s">
        <v>252</v>
      </c>
      <c r="B52" s="66" t="s">
        <v>254</v>
      </c>
      <c r="C52" s="66" t="s">
        <v>255</v>
      </c>
      <c r="D52" s="66" t="s">
        <v>260</v>
      </c>
      <c r="E52" s="66" t="s">
        <v>264</v>
      </c>
      <c r="F52" s="66" t="s">
        <v>265</v>
      </c>
      <c r="G52" s="66" t="s">
        <v>261</v>
      </c>
      <c r="H52" s="66" t="s">
        <v>262</v>
      </c>
      <c r="I52" s="66" t="s">
        <v>263</v>
      </c>
    </row>
    <row r="53" spans="1:12" x14ac:dyDescent="0.25">
      <c r="A53" s="62">
        <v>40340</v>
      </c>
      <c r="B53" s="69">
        <v>1</v>
      </c>
      <c r="C53" s="63">
        <v>0.04</v>
      </c>
      <c r="D53" s="70">
        <f>B53</f>
        <v>1</v>
      </c>
      <c r="E53" s="76">
        <f>A53</f>
        <v>40340</v>
      </c>
      <c r="F53" s="7">
        <f>A53</f>
        <v>40340</v>
      </c>
      <c r="G53" s="7">
        <f>(E53+F53)/2</f>
        <v>40340</v>
      </c>
      <c r="H53" s="7">
        <f>D53*G53</f>
        <v>40340</v>
      </c>
      <c r="I53" s="7">
        <v>1</v>
      </c>
    </row>
    <row r="54" spans="1:12" x14ac:dyDescent="0.25">
      <c r="A54" s="62">
        <v>42690</v>
      </c>
      <c r="B54" s="69">
        <v>2</v>
      </c>
      <c r="C54" s="63">
        <v>0.12</v>
      </c>
      <c r="D54" s="70">
        <f>D53+B54</f>
        <v>3</v>
      </c>
      <c r="E54" s="77">
        <v>40340</v>
      </c>
      <c r="F54" s="77">
        <v>42690</v>
      </c>
      <c r="G54" s="7">
        <f>(E54+F54)/2</f>
        <v>41515</v>
      </c>
      <c r="H54" s="7">
        <f t="shared" ref="H54:H63" si="13">D54*G54</f>
        <v>124545</v>
      </c>
      <c r="I54" s="7">
        <v>2350</v>
      </c>
    </row>
    <row r="55" spans="1:12" x14ac:dyDescent="0.25">
      <c r="A55" s="62">
        <v>45040</v>
      </c>
      <c r="B55" s="69">
        <v>5</v>
      </c>
      <c r="C55" s="63">
        <v>0.32</v>
      </c>
      <c r="D55" s="70">
        <f t="shared" ref="D55:D63" si="14">D54+B55</f>
        <v>8</v>
      </c>
      <c r="E55" s="77">
        <v>42690</v>
      </c>
      <c r="F55" s="77">
        <v>45040</v>
      </c>
      <c r="G55" s="7">
        <f t="shared" ref="G55:G63" si="15">(E55+F55)/2</f>
        <v>43865</v>
      </c>
      <c r="H55" s="7">
        <f t="shared" si="13"/>
        <v>350920</v>
      </c>
      <c r="I55" s="7">
        <v>2350</v>
      </c>
    </row>
    <row r="56" spans="1:12" x14ac:dyDescent="0.25">
      <c r="A56" s="62">
        <v>47390</v>
      </c>
      <c r="B56" s="69">
        <v>2</v>
      </c>
      <c r="C56" s="63">
        <v>0.4</v>
      </c>
      <c r="D56" s="70">
        <f t="shared" si="14"/>
        <v>10</v>
      </c>
      <c r="E56" s="77">
        <v>45040</v>
      </c>
      <c r="F56" s="77">
        <v>47390</v>
      </c>
      <c r="G56" s="7">
        <f t="shared" si="15"/>
        <v>46215</v>
      </c>
      <c r="H56" s="7">
        <f t="shared" si="13"/>
        <v>462150</v>
      </c>
      <c r="I56" s="7">
        <v>2350</v>
      </c>
    </row>
    <row r="57" spans="1:12" x14ac:dyDescent="0.25">
      <c r="A57" s="62">
        <v>49740</v>
      </c>
      <c r="B57" s="69">
        <v>3</v>
      </c>
      <c r="C57" s="63">
        <v>0.52</v>
      </c>
      <c r="D57" s="70">
        <f t="shared" si="14"/>
        <v>13</v>
      </c>
      <c r="E57" s="77">
        <v>47390</v>
      </c>
      <c r="F57" s="77">
        <v>49740</v>
      </c>
      <c r="G57" s="7">
        <f t="shared" si="15"/>
        <v>48565</v>
      </c>
      <c r="H57" s="7">
        <f t="shared" si="13"/>
        <v>631345</v>
      </c>
      <c r="I57" s="7">
        <v>2350</v>
      </c>
    </row>
    <row r="58" spans="1:12" x14ac:dyDescent="0.25">
      <c r="A58" s="62">
        <v>52090</v>
      </c>
      <c r="B58" s="69">
        <v>2</v>
      </c>
      <c r="C58" s="63">
        <v>0.6</v>
      </c>
      <c r="D58" s="70">
        <f t="shared" si="14"/>
        <v>15</v>
      </c>
      <c r="E58" s="77">
        <v>49740</v>
      </c>
      <c r="F58" s="77">
        <v>52090</v>
      </c>
      <c r="G58" s="7">
        <f t="shared" si="15"/>
        <v>50915</v>
      </c>
      <c r="H58" s="7">
        <f t="shared" si="13"/>
        <v>763725</v>
      </c>
      <c r="I58" s="7">
        <v>2350</v>
      </c>
    </row>
    <row r="59" spans="1:12" x14ac:dyDescent="0.25">
      <c r="A59" s="62">
        <v>54440</v>
      </c>
      <c r="B59" s="69">
        <v>3</v>
      </c>
      <c r="C59" s="63">
        <v>0.72</v>
      </c>
      <c r="D59" s="70">
        <f t="shared" si="14"/>
        <v>18</v>
      </c>
      <c r="E59" s="77">
        <v>52090</v>
      </c>
      <c r="F59" s="77">
        <v>54440</v>
      </c>
      <c r="G59" s="7">
        <f t="shared" si="15"/>
        <v>53265</v>
      </c>
      <c r="H59" s="7">
        <f t="shared" si="13"/>
        <v>958770</v>
      </c>
      <c r="I59" s="7">
        <v>2350</v>
      </c>
    </row>
    <row r="60" spans="1:12" x14ac:dyDescent="0.25">
      <c r="A60" s="62">
        <v>56790</v>
      </c>
      <c r="B60" s="69">
        <v>2</v>
      </c>
      <c r="C60" s="63">
        <v>0.8</v>
      </c>
      <c r="D60" s="70">
        <f t="shared" si="14"/>
        <v>20</v>
      </c>
      <c r="E60" s="77">
        <v>54440</v>
      </c>
      <c r="F60" s="77">
        <v>56790</v>
      </c>
      <c r="G60" s="7">
        <f t="shared" si="15"/>
        <v>55615</v>
      </c>
      <c r="H60" s="7">
        <f t="shared" si="13"/>
        <v>1112300</v>
      </c>
      <c r="I60" s="7">
        <v>2350</v>
      </c>
    </row>
    <row r="61" spans="1:12" x14ac:dyDescent="0.25">
      <c r="A61" s="62">
        <v>59140</v>
      </c>
      <c r="B61" s="69">
        <v>3</v>
      </c>
      <c r="C61" s="63">
        <v>0.92</v>
      </c>
      <c r="D61" s="70">
        <f t="shared" si="14"/>
        <v>23</v>
      </c>
      <c r="E61" s="77">
        <v>56790</v>
      </c>
      <c r="F61" s="77">
        <v>59140</v>
      </c>
      <c r="G61" s="7">
        <f t="shared" si="15"/>
        <v>57965</v>
      </c>
      <c r="H61" s="7">
        <f t="shared" si="13"/>
        <v>1333195</v>
      </c>
      <c r="I61" s="7">
        <v>2350</v>
      </c>
    </row>
    <row r="62" spans="1:12" x14ac:dyDescent="0.25">
      <c r="A62" s="62">
        <v>61490</v>
      </c>
      <c r="B62" s="69">
        <v>1</v>
      </c>
      <c r="C62" s="63">
        <v>0.96</v>
      </c>
      <c r="D62" s="70">
        <f t="shared" si="14"/>
        <v>24</v>
      </c>
      <c r="E62" s="77">
        <v>59140</v>
      </c>
      <c r="F62" s="77">
        <v>61490</v>
      </c>
      <c r="G62" s="7">
        <f t="shared" si="15"/>
        <v>60315</v>
      </c>
      <c r="H62" s="7">
        <f t="shared" si="13"/>
        <v>1447560</v>
      </c>
      <c r="I62" s="7">
        <v>2350</v>
      </c>
    </row>
    <row r="63" spans="1:12" x14ac:dyDescent="0.25">
      <c r="A63" s="62">
        <v>63840</v>
      </c>
      <c r="B63" s="69">
        <v>1</v>
      </c>
      <c r="C63" s="63">
        <v>1</v>
      </c>
      <c r="D63" s="70">
        <f t="shared" si="14"/>
        <v>25</v>
      </c>
      <c r="E63" s="77">
        <v>61490</v>
      </c>
      <c r="F63" s="77">
        <v>63840</v>
      </c>
      <c r="G63" s="7">
        <f t="shared" si="15"/>
        <v>62665</v>
      </c>
      <c r="H63" s="7">
        <f t="shared" si="13"/>
        <v>1566625</v>
      </c>
      <c r="I63" s="7">
        <v>2350</v>
      </c>
    </row>
    <row r="64" spans="1:12" x14ac:dyDescent="0.25">
      <c r="A64" s="71" t="s">
        <v>253</v>
      </c>
      <c r="B64" s="72">
        <v>0</v>
      </c>
      <c r="C64" s="73">
        <v>1</v>
      </c>
      <c r="D64" s="74"/>
      <c r="E64" s="74"/>
      <c r="F64" s="75"/>
      <c r="G64" s="75"/>
      <c r="H64" s="75"/>
      <c r="I64" s="75"/>
    </row>
    <row r="67" spans="9:9" x14ac:dyDescent="0.25">
      <c r="I67" s="4">
        <f>SUM(H53:H63)/SUM(D53:D63)</f>
        <v>54946.71875</v>
      </c>
    </row>
    <row r="70" spans="9:9" x14ac:dyDescent="0.25">
      <c r="I70" s="2"/>
    </row>
    <row r="106" spans="2:2" x14ac:dyDescent="0.25">
      <c r="B106" s="2"/>
    </row>
    <row r="109" spans="2:2" x14ac:dyDescent="0.25">
      <c r="B109" s="2"/>
    </row>
    <row r="110" spans="2:2" x14ac:dyDescent="0.25">
      <c r="B110" s="2"/>
    </row>
    <row r="111" spans="2:2" x14ac:dyDescent="0.25">
      <c r="B111" s="2"/>
    </row>
  </sheetData>
  <conditionalFormatting sqref="A39:F44">
    <cfRule type="colorScale" priority="1">
      <colorScale>
        <cfvo type="min"/>
        <cfvo type="percentile" val="50"/>
        <cfvo type="max"/>
        <color rgb="FFF8696B"/>
        <color rgb="FFFCFCFF"/>
        <color rgb="FF63BE7B"/>
      </colorScale>
    </cfRule>
  </conditionalFormatting>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23" sqref="A23"/>
    </sheetView>
  </sheetViews>
  <sheetFormatPr defaultRowHeight="15" x14ac:dyDescent="0.25"/>
  <cols>
    <col min="1" max="1" width="32.140625" bestFit="1" customWidth="1"/>
    <col min="2" max="2" width="15.28515625" bestFit="1" customWidth="1"/>
    <col min="3" max="3" width="8.85546875" bestFit="1" customWidth="1"/>
  </cols>
  <sheetData>
    <row r="1" spans="1:5" ht="15.75" thickBot="1" x14ac:dyDescent="0.3">
      <c r="A1" s="80" t="s">
        <v>39</v>
      </c>
      <c r="B1" s="81" t="s">
        <v>40</v>
      </c>
      <c r="C1" s="81" t="s">
        <v>41</v>
      </c>
      <c r="D1" s="81" t="s">
        <v>142</v>
      </c>
      <c r="E1" s="82" t="s">
        <v>143</v>
      </c>
    </row>
    <row r="2" spans="1:5" ht="15.75" thickTop="1" x14ac:dyDescent="0.25">
      <c r="A2" s="79" t="s">
        <v>114</v>
      </c>
      <c r="B2" s="85" t="s">
        <v>266</v>
      </c>
      <c r="C2" s="85" t="s">
        <v>268</v>
      </c>
      <c r="D2" s="85" t="s">
        <v>269</v>
      </c>
      <c r="E2" s="86" t="s">
        <v>267</v>
      </c>
    </row>
    <row r="3" spans="1:5" x14ac:dyDescent="0.25">
      <c r="A3" s="79" t="s">
        <v>299</v>
      </c>
      <c r="B3" s="83">
        <v>586340</v>
      </c>
      <c r="C3" s="83">
        <v>435500</v>
      </c>
      <c r="D3" s="83">
        <v>586340</v>
      </c>
      <c r="E3" s="83">
        <v>777400</v>
      </c>
    </row>
    <row r="4" spans="1:5" x14ac:dyDescent="0.25">
      <c r="A4" s="78" t="s">
        <v>60</v>
      </c>
      <c r="B4" s="88">
        <v>16.8</v>
      </c>
      <c r="C4" s="88">
        <v>17.3</v>
      </c>
      <c r="D4" s="88">
        <v>16.8</v>
      </c>
      <c r="E4" s="88">
        <v>15.4</v>
      </c>
    </row>
    <row r="5" spans="1:5" x14ac:dyDescent="0.25">
      <c r="A5" s="79" t="s">
        <v>232</v>
      </c>
      <c r="B5" s="87">
        <v>6.61</v>
      </c>
      <c r="C5" s="87">
        <v>6.81</v>
      </c>
      <c r="D5" s="87">
        <v>6.61</v>
      </c>
      <c r="E5" s="87">
        <v>6.07</v>
      </c>
    </row>
    <row r="6" spans="1:5" x14ac:dyDescent="0.25">
      <c r="A6" s="78" t="s">
        <v>270</v>
      </c>
      <c r="B6" s="84">
        <f>B3/(B4-B5)</f>
        <v>57540.72620215897</v>
      </c>
      <c r="C6" s="84">
        <f>C3/(C4-C5)</f>
        <v>41515.72926596758</v>
      </c>
      <c r="D6" s="84">
        <f>D3/(D4-D5)</f>
        <v>57540.72620215897</v>
      </c>
      <c r="E6" s="84">
        <f>E3/(E4-E5)</f>
        <v>83322.615219721323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7"/>
  <sheetViews>
    <sheetView topLeftCell="A7" workbookViewId="0">
      <selection activeCell="K24" sqref="K24"/>
    </sheetView>
  </sheetViews>
  <sheetFormatPr defaultRowHeight="15" x14ac:dyDescent="0.25"/>
  <cols>
    <col min="1" max="1" width="26.42578125" bestFit="1" customWidth="1"/>
    <col min="2" max="2" width="11.28515625" bestFit="1" customWidth="1"/>
    <col min="3" max="3" width="9.7109375" bestFit="1" customWidth="1"/>
    <col min="4" max="4" width="11.7109375" bestFit="1" customWidth="1"/>
    <col min="5" max="8" width="6.5703125" customWidth="1"/>
    <col min="9" max="9" width="8.28515625" customWidth="1"/>
  </cols>
  <sheetData>
    <row r="1" spans="1:9" x14ac:dyDescent="0.25">
      <c r="A1" s="35" t="s">
        <v>290</v>
      </c>
    </row>
    <row r="2" spans="1:9" x14ac:dyDescent="0.25">
      <c r="A2" t="s">
        <v>271</v>
      </c>
    </row>
    <row r="3" spans="1:9" x14ac:dyDescent="0.25">
      <c r="A3" t="s">
        <v>272</v>
      </c>
    </row>
    <row r="5" spans="1:9" x14ac:dyDescent="0.25">
      <c r="A5" s="53" t="s">
        <v>273</v>
      </c>
      <c r="B5" s="90">
        <v>42754</v>
      </c>
      <c r="E5" s="53" t="s">
        <v>275</v>
      </c>
      <c r="F5" t="s">
        <v>276</v>
      </c>
    </row>
    <row r="6" spans="1:9" x14ac:dyDescent="0.25">
      <c r="A6" s="53" t="s">
        <v>274</v>
      </c>
      <c r="B6" s="91">
        <v>2.210648148148148E-2</v>
      </c>
      <c r="E6" s="53" t="s">
        <v>277</v>
      </c>
      <c r="F6" t="s">
        <v>300</v>
      </c>
    </row>
    <row r="8" spans="1:9" x14ac:dyDescent="0.25">
      <c r="A8" s="118"/>
      <c r="B8" s="257"/>
      <c r="C8" s="257"/>
      <c r="D8" s="257"/>
      <c r="E8" s="257" t="s">
        <v>270</v>
      </c>
      <c r="F8" s="257"/>
      <c r="G8" s="257"/>
      <c r="H8" s="207"/>
      <c r="I8" s="119"/>
    </row>
    <row r="9" spans="1:9" x14ac:dyDescent="0.25">
      <c r="A9" s="208"/>
      <c r="B9" s="256" t="s">
        <v>278</v>
      </c>
      <c r="C9" s="256"/>
      <c r="D9" s="256"/>
      <c r="E9" s="256" t="s">
        <v>279</v>
      </c>
      <c r="F9" s="256"/>
      <c r="G9" s="256"/>
      <c r="H9" s="202"/>
      <c r="I9" s="211" t="s">
        <v>280</v>
      </c>
    </row>
    <row r="10" spans="1:9" x14ac:dyDescent="0.25">
      <c r="A10" s="208" t="s">
        <v>281</v>
      </c>
      <c r="B10" s="210" t="s">
        <v>285</v>
      </c>
      <c r="C10" s="210" t="s">
        <v>286</v>
      </c>
      <c r="D10" s="210" t="s">
        <v>287</v>
      </c>
      <c r="E10" s="210" t="s">
        <v>288</v>
      </c>
      <c r="F10" s="210" t="s">
        <v>282</v>
      </c>
      <c r="G10" s="210" t="s">
        <v>289</v>
      </c>
      <c r="H10" s="210" t="s">
        <v>283</v>
      </c>
      <c r="I10" s="211" t="s">
        <v>284</v>
      </c>
    </row>
    <row r="11" spans="1:9" x14ac:dyDescent="0.25">
      <c r="A11" s="104" t="s">
        <v>299</v>
      </c>
      <c r="B11" s="103">
        <v>435500</v>
      </c>
      <c r="C11" s="102">
        <v>586340</v>
      </c>
      <c r="D11" s="105">
        <v>777400</v>
      </c>
      <c r="E11" s="2">
        <v>42737.97841020608</v>
      </c>
      <c r="F11" s="2">
        <v>57540.72620215897</v>
      </c>
      <c r="G11" s="94">
        <v>76290.480863591743</v>
      </c>
      <c r="H11" s="2">
        <v>33552.502453385663</v>
      </c>
      <c r="I11" s="101">
        <v>0.87764414309318717</v>
      </c>
    </row>
    <row r="12" spans="1:9" x14ac:dyDescent="0.25">
      <c r="A12" s="93" t="s">
        <v>60</v>
      </c>
      <c r="B12" s="108">
        <v>17.3</v>
      </c>
      <c r="C12" s="107">
        <v>16.8</v>
      </c>
      <c r="D12" s="110">
        <v>15.4</v>
      </c>
      <c r="E12" s="2">
        <v>54849.391955098217</v>
      </c>
      <c r="F12" s="2">
        <v>57540.72620215897</v>
      </c>
      <c r="G12" s="95">
        <v>66705.346985210475</v>
      </c>
      <c r="H12" s="2">
        <v>11855.955030112258</v>
      </c>
      <c r="I12" s="101">
        <v>0.10958262815783092</v>
      </c>
    </row>
    <row r="13" spans="1:9" x14ac:dyDescent="0.25">
      <c r="A13" s="92" t="s">
        <v>232</v>
      </c>
      <c r="B13" s="109">
        <v>6.07</v>
      </c>
      <c r="C13" s="89">
        <v>6.61</v>
      </c>
      <c r="D13" s="111">
        <v>6.81</v>
      </c>
      <c r="E13" s="2">
        <v>54644.920782851812</v>
      </c>
      <c r="F13" s="2">
        <v>57540.72620215897</v>
      </c>
      <c r="G13" s="95">
        <v>58692.692692692683</v>
      </c>
      <c r="H13" s="2">
        <v>4047.7719098408706</v>
      </c>
      <c r="I13" s="101">
        <v>1.2773228748981876E-2</v>
      </c>
    </row>
    <row r="27" spans="1:9" x14ac:dyDescent="0.25">
      <c r="A27" s="35" t="s">
        <v>292</v>
      </c>
      <c r="I27" s="96" t="s">
        <v>291</v>
      </c>
    </row>
  </sheetData>
  <sortState ref="A11:I13">
    <sortCondition descending="1" ref="H11"/>
  </sortState>
  <mergeCells count="4">
    <mergeCell ref="E9:G9"/>
    <mergeCell ref="B9:D9"/>
    <mergeCell ref="E8:G8"/>
    <mergeCell ref="B8:D8"/>
  </mergeCells>
  <pageMargins left="0.7" right="0.7" top="0.75" bottom="0.75" header="0.3" footer="0.3"/>
  <pageSetup paperSize="9" fitToHeight="0" orientation="portrait" r:id="rId1"/>
  <headerFooter>
    <oddHeader>&amp;L&amp;"Arial,Bold"&amp;12This Version Not Licensed For Commercial Or Student Use</oddHeader>
    <oddFooter>&amp;L&amp;"Arial,Bold"&amp;12SensIt Trial Version, Only For Evaluation&amp;R&amp;"Arial,Bold"&amp;12TreePlan.com</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46"/>
  <sheetViews>
    <sheetView workbookViewId="0">
      <selection activeCell="M18" sqref="M18"/>
    </sheetView>
  </sheetViews>
  <sheetFormatPr defaultRowHeight="15" x14ac:dyDescent="0.25"/>
  <cols>
    <col min="1" max="1" width="26.42578125" bestFit="1" customWidth="1"/>
    <col min="2" max="2" width="11.28515625" bestFit="1" customWidth="1"/>
    <col min="3" max="3" width="9.7109375" bestFit="1" customWidth="1"/>
    <col min="4" max="4" width="11.7109375" bestFit="1" customWidth="1"/>
    <col min="5" max="7" width="7.140625" customWidth="1"/>
    <col min="8" max="11" width="6.5703125" customWidth="1"/>
    <col min="13" max="13" width="11.28515625" bestFit="1" customWidth="1"/>
    <col min="14" max="14" width="14.85546875" bestFit="1" customWidth="1"/>
    <col min="15" max="15" width="12.85546875" bestFit="1" customWidth="1"/>
    <col min="17" max="17" width="11.28515625" bestFit="1" customWidth="1"/>
    <col min="18" max="18" width="14.85546875" bestFit="1" customWidth="1"/>
    <col min="19" max="19" width="12.85546875" bestFit="1" customWidth="1"/>
    <col min="21" max="21" width="11.28515625" bestFit="1" customWidth="1"/>
    <col min="22" max="22" width="14.85546875" bestFit="1" customWidth="1"/>
    <col min="23" max="23" width="12.85546875" bestFit="1" customWidth="1"/>
  </cols>
  <sheetData>
    <row r="1" spans="1:23" x14ac:dyDescent="0.25">
      <c r="A1" s="35" t="s">
        <v>290</v>
      </c>
      <c r="M1" t="s">
        <v>299</v>
      </c>
      <c r="Q1" t="s">
        <v>60</v>
      </c>
      <c r="U1" t="s">
        <v>232</v>
      </c>
    </row>
    <row r="2" spans="1:23" x14ac:dyDescent="0.25">
      <c r="A2" t="s">
        <v>271</v>
      </c>
      <c r="M2" t="s">
        <v>297</v>
      </c>
      <c r="N2" t="s">
        <v>298</v>
      </c>
      <c r="O2" t="s">
        <v>279</v>
      </c>
      <c r="Q2" t="s">
        <v>297</v>
      </c>
      <c r="R2" t="s">
        <v>298</v>
      </c>
      <c r="S2" t="s">
        <v>279</v>
      </c>
      <c r="U2" t="s">
        <v>297</v>
      </c>
      <c r="V2" t="s">
        <v>298</v>
      </c>
      <c r="W2" t="s">
        <v>279</v>
      </c>
    </row>
    <row r="3" spans="1:23" x14ac:dyDescent="0.25">
      <c r="A3" t="s">
        <v>272</v>
      </c>
      <c r="M3" s="2">
        <v>435500</v>
      </c>
      <c r="N3" s="101">
        <v>0.74274311832725037</v>
      </c>
      <c r="O3" s="2">
        <v>42737.97841020608</v>
      </c>
      <c r="Q3" s="14">
        <v>15.4</v>
      </c>
      <c r="R3" s="101">
        <v>0.91666666666666663</v>
      </c>
      <c r="S3" s="2">
        <v>66705.346985210475</v>
      </c>
      <c r="U3" s="4">
        <v>6.07</v>
      </c>
      <c r="V3" s="101">
        <v>0.91830559757942509</v>
      </c>
      <c r="W3" s="2">
        <v>54644.920782851812</v>
      </c>
    </row>
    <row r="4" spans="1:23" x14ac:dyDescent="0.25">
      <c r="M4" s="2">
        <v>469072</v>
      </c>
      <c r="N4" s="101">
        <v>0.8</v>
      </c>
      <c r="O4" s="2">
        <v>46032.580961727181</v>
      </c>
      <c r="Q4" s="14">
        <v>16.8</v>
      </c>
      <c r="R4" s="101">
        <v>1</v>
      </c>
      <c r="S4" s="2">
        <v>57540.72620215897</v>
      </c>
      <c r="U4" s="4">
        <v>6.61</v>
      </c>
      <c r="V4" s="101">
        <v>1</v>
      </c>
      <c r="W4" s="2">
        <v>57540.72620215897</v>
      </c>
    </row>
    <row r="5" spans="1:23" x14ac:dyDescent="0.25">
      <c r="A5" s="53" t="s">
        <v>273</v>
      </c>
      <c r="B5" s="90">
        <v>42754</v>
      </c>
      <c r="G5" s="53" t="s">
        <v>275</v>
      </c>
      <c r="H5" t="s">
        <v>276</v>
      </c>
      <c r="M5" s="2">
        <v>527706</v>
      </c>
      <c r="N5" s="101">
        <v>0.9</v>
      </c>
      <c r="O5" s="2">
        <v>51786.653581943072</v>
      </c>
      <c r="Q5" s="14">
        <v>17.3</v>
      </c>
      <c r="R5" s="101">
        <v>1.0297619047619047</v>
      </c>
      <c r="S5" s="2">
        <v>54849.391955098217</v>
      </c>
      <c r="U5" s="4">
        <v>6.81</v>
      </c>
      <c r="V5" s="101">
        <v>1.0302571860816943</v>
      </c>
      <c r="W5" s="2">
        <v>58692.692692692683</v>
      </c>
    </row>
    <row r="6" spans="1:23" x14ac:dyDescent="0.25">
      <c r="A6" s="53" t="s">
        <v>274</v>
      </c>
      <c r="B6" s="91">
        <v>2.2118055555555557E-2</v>
      </c>
      <c r="G6" s="53" t="s">
        <v>277</v>
      </c>
      <c r="H6" t="s">
        <v>300</v>
      </c>
      <c r="M6" s="2">
        <v>586340</v>
      </c>
      <c r="N6" s="101">
        <v>1</v>
      </c>
      <c r="O6" s="2">
        <v>57540.72620215897</v>
      </c>
    </row>
    <row r="7" spans="1:23" x14ac:dyDescent="0.25">
      <c r="M7" s="2">
        <v>644974</v>
      </c>
      <c r="N7" s="101">
        <v>1.1000000000000001</v>
      </c>
      <c r="O7" s="2">
        <v>63294.798822374869</v>
      </c>
    </row>
    <row r="8" spans="1:23" x14ac:dyDescent="0.25">
      <c r="A8" s="118"/>
      <c r="B8" s="258"/>
      <c r="C8" s="259"/>
      <c r="D8" s="260"/>
      <c r="E8" s="258"/>
      <c r="F8" s="259"/>
      <c r="G8" s="260"/>
      <c r="H8" s="257" t="s">
        <v>270</v>
      </c>
      <c r="I8" s="257"/>
      <c r="J8" s="257"/>
      <c r="K8" s="119"/>
      <c r="M8" s="2">
        <v>703608.00000000012</v>
      </c>
      <c r="N8" s="101">
        <v>1.2000000000000002</v>
      </c>
      <c r="O8" s="2">
        <v>69048.871442590782</v>
      </c>
    </row>
    <row r="9" spans="1:23" x14ac:dyDescent="0.25">
      <c r="A9" s="208"/>
      <c r="B9" s="256" t="s">
        <v>278</v>
      </c>
      <c r="C9" s="256"/>
      <c r="D9" s="256"/>
      <c r="E9" s="256" t="s">
        <v>293</v>
      </c>
      <c r="F9" s="256"/>
      <c r="G9" s="256"/>
      <c r="H9" s="256" t="s">
        <v>279</v>
      </c>
      <c r="I9" s="256"/>
      <c r="J9" s="256"/>
      <c r="K9" s="209"/>
      <c r="M9" s="2">
        <v>762242.00000000012</v>
      </c>
      <c r="N9" s="101">
        <v>1.3000000000000003</v>
      </c>
      <c r="O9" s="2">
        <v>74802.94406280668</v>
      </c>
    </row>
    <row r="10" spans="1:23" x14ac:dyDescent="0.25">
      <c r="A10" s="208" t="s">
        <v>281</v>
      </c>
      <c r="B10" s="210" t="s">
        <v>285</v>
      </c>
      <c r="C10" s="210" t="s">
        <v>286</v>
      </c>
      <c r="D10" s="210" t="s">
        <v>287</v>
      </c>
      <c r="E10" s="210" t="s">
        <v>294</v>
      </c>
      <c r="F10" s="210" t="s">
        <v>295</v>
      </c>
      <c r="G10" s="210" t="s">
        <v>296</v>
      </c>
      <c r="H10" s="210" t="s">
        <v>288</v>
      </c>
      <c r="I10" s="210" t="s">
        <v>282</v>
      </c>
      <c r="J10" s="210" t="s">
        <v>289</v>
      </c>
      <c r="K10" s="211" t="s">
        <v>283</v>
      </c>
      <c r="M10" s="2">
        <v>777400</v>
      </c>
      <c r="N10" s="101">
        <v>1.3258518948050619</v>
      </c>
      <c r="O10" s="2">
        <v>76290.480863591743</v>
      </c>
    </row>
    <row r="11" spans="1:23" x14ac:dyDescent="0.25">
      <c r="A11" s="212" t="s">
        <v>299</v>
      </c>
      <c r="B11" s="222">
        <v>435500</v>
      </c>
      <c r="C11" s="213">
        <v>586340</v>
      </c>
      <c r="D11" s="225">
        <v>777400</v>
      </c>
      <c r="E11" s="214">
        <v>0.74274311832725037</v>
      </c>
      <c r="F11" s="214">
        <v>1</v>
      </c>
      <c r="G11" s="106">
        <v>1.3258518948050619</v>
      </c>
      <c r="H11" s="215">
        <v>42737.97841020608</v>
      </c>
      <c r="I11" s="215">
        <v>57540.72620215897</v>
      </c>
      <c r="J11" s="94">
        <v>76290.480863591743</v>
      </c>
      <c r="K11" s="216">
        <v>33552.502453385663</v>
      </c>
      <c r="L11" s="83"/>
    </row>
    <row r="12" spans="1:23" x14ac:dyDescent="0.25">
      <c r="A12" s="217" t="s">
        <v>60</v>
      </c>
      <c r="B12" s="223">
        <v>17.3</v>
      </c>
      <c r="C12" s="218">
        <v>16.8</v>
      </c>
      <c r="D12" s="226">
        <v>15.4</v>
      </c>
      <c r="E12" s="97">
        <v>1.0297619047619047</v>
      </c>
      <c r="F12" s="97">
        <v>1</v>
      </c>
      <c r="G12" s="100">
        <v>0.91666666666666663</v>
      </c>
      <c r="H12" s="7">
        <v>54849.391955098217</v>
      </c>
      <c r="I12" s="7">
        <v>57540.72620215897</v>
      </c>
      <c r="J12" s="95">
        <v>66705.346985210475</v>
      </c>
      <c r="K12" s="219">
        <v>11855.955030112258</v>
      </c>
      <c r="L12" s="88"/>
    </row>
    <row r="13" spans="1:23" x14ac:dyDescent="0.25">
      <c r="A13" s="220" t="s">
        <v>232</v>
      </c>
      <c r="B13" s="224">
        <v>6.07</v>
      </c>
      <c r="C13" s="221">
        <v>6.61</v>
      </c>
      <c r="D13" s="227">
        <v>6.81</v>
      </c>
      <c r="E13" s="98">
        <v>0.91830559757942509</v>
      </c>
      <c r="F13" s="98">
        <v>1</v>
      </c>
      <c r="G13" s="99">
        <v>1.0302571860816943</v>
      </c>
      <c r="H13" s="7">
        <v>54644.920782851812</v>
      </c>
      <c r="I13" s="7">
        <v>57540.72620215897</v>
      </c>
      <c r="J13" s="95">
        <v>58692.692692692683</v>
      </c>
      <c r="K13" s="219">
        <v>4047.7719098408706</v>
      </c>
      <c r="L13" s="87"/>
    </row>
    <row r="46" spans="1:11" x14ac:dyDescent="0.25">
      <c r="A46" s="35" t="s">
        <v>292</v>
      </c>
      <c r="K46" s="96" t="s">
        <v>291</v>
      </c>
    </row>
  </sheetData>
  <sortState ref="A11:L13">
    <sortCondition descending="1" ref="K11"/>
  </sortState>
  <mergeCells count="6">
    <mergeCell ref="B9:D9"/>
    <mergeCell ref="E9:G9"/>
    <mergeCell ref="H9:J9"/>
    <mergeCell ref="H8:J8"/>
    <mergeCell ref="E8:G8"/>
    <mergeCell ref="B8:D8"/>
  </mergeCells>
  <pageMargins left="0.7" right="0.7" top="0.75" bottom="0.75" header="0.3" footer="0.3"/>
  <pageSetup paperSize="9" fitToHeight="0" orientation="portrait" r:id="rId1"/>
  <headerFooter>
    <oddHeader>&amp;L&amp;"Arial,Bold"&amp;12This Version Not Licensed For Commercial Or Student Use</oddHeader>
    <oddFooter>&amp;L&amp;"Arial,Bold"&amp;12SensIt Trial Version, Only For Evaluation&amp;R&amp;"Arial,Bold"&amp;12TreePlan.com</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topLeftCell="A36" workbookViewId="0">
      <selection activeCell="B52" sqref="B52:F57"/>
    </sheetView>
  </sheetViews>
  <sheetFormatPr defaultRowHeight="15" x14ac:dyDescent="0.25"/>
  <cols>
    <col min="2" max="2" width="18.42578125" bestFit="1" customWidth="1"/>
    <col min="3" max="3" width="21.5703125" bestFit="1" customWidth="1"/>
    <col min="4" max="4" width="16.42578125" bestFit="1" customWidth="1"/>
    <col min="5" max="5" width="18.42578125" bestFit="1" customWidth="1"/>
    <col min="6" max="6" width="14.42578125" customWidth="1"/>
    <col min="7" max="7" width="18.42578125" bestFit="1" customWidth="1"/>
    <col min="9" max="9" width="16.42578125" bestFit="1" customWidth="1"/>
  </cols>
  <sheetData>
    <row r="1" spans="1:16" x14ac:dyDescent="0.25">
      <c r="A1" s="112" t="s">
        <v>301</v>
      </c>
      <c r="B1" s="112"/>
      <c r="C1" s="112"/>
      <c r="D1" s="112"/>
      <c r="E1" s="112"/>
      <c r="F1" s="112"/>
      <c r="G1" s="112"/>
      <c r="H1" s="112"/>
      <c r="I1" s="112"/>
      <c r="J1" s="112"/>
    </row>
    <row r="2" spans="1:16" x14ac:dyDescent="0.25">
      <c r="J2" s="11"/>
      <c r="K2" s="11"/>
      <c r="L2" s="11"/>
      <c r="M2" s="11"/>
      <c r="N2" s="11"/>
      <c r="O2" s="11"/>
      <c r="P2" s="11"/>
    </row>
    <row r="3" spans="1:16" x14ac:dyDescent="0.25">
      <c r="J3" s="11"/>
      <c r="K3" s="11"/>
      <c r="L3" s="11"/>
      <c r="M3" s="11"/>
      <c r="N3" s="11"/>
      <c r="O3" s="11"/>
      <c r="P3" s="11"/>
    </row>
    <row r="4" spans="1:16" x14ac:dyDescent="0.25">
      <c r="J4" s="11"/>
      <c r="K4" s="11"/>
      <c r="L4" s="11"/>
      <c r="M4" s="11"/>
      <c r="N4" s="11"/>
      <c r="O4" s="11"/>
      <c r="P4" s="11"/>
    </row>
    <row r="5" spans="1:16" x14ac:dyDescent="0.25">
      <c r="B5" s="200"/>
      <c r="C5" s="185" t="s">
        <v>305</v>
      </c>
      <c r="D5" s="185" t="s">
        <v>304</v>
      </c>
      <c r="E5" s="185" t="s">
        <v>306</v>
      </c>
      <c r="J5" s="11"/>
      <c r="K5" s="11"/>
      <c r="L5" s="11"/>
      <c r="M5" s="11"/>
      <c r="N5" s="11"/>
      <c r="O5" s="11"/>
      <c r="P5" s="11"/>
    </row>
    <row r="6" spans="1:16" x14ac:dyDescent="0.25">
      <c r="B6" s="201" t="s">
        <v>302</v>
      </c>
      <c r="C6" s="133">
        <v>3</v>
      </c>
      <c r="D6" s="133">
        <v>4</v>
      </c>
      <c r="E6" s="133">
        <v>5</v>
      </c>
      <c r="J6" s="11"/>
      <c r="K6" s="11"/>
      <c r="L6" s="11"/>
      <c r="M6" s="11"/>
      <c r="N6" s="11"/>
      <c r="O6" s="11"/>
      <c r="P6" s="11"/>
    </row>
    <row r="7" spans="1:16" x14ac:dyDescent="0.25">
      <c r="B7" s="201" t="s">
        <v>303</v>
      </c>
      <c r="C7" s="133">
        <v>6</v>
      </c>
      <c r="D7" s="133">
        <v>3</v>
      </c>
      <c r="E7" s="133">
        <v>7</v>
      </c>
      <c r="J7" s="11"/>
      <c r="K7" s="11"/>
      <c r="L7" s="11"/>
      <c r="M7" s="11"/>
      <c r="N7" s="11"/>
      <c r="O7" s="11"/>
      <c r="P7" s="11"/>
    </row>
    <row r="8" spans="1:16" x14ac:dyDescent="0.25">
      <c r="B8" s="201" t="s">
        <v>342</v>
      </c>
      <c r="C8" s="133">
        <f>SUM(C6:C7)</f>
        <v>9</v>
      </c>
      <c r="D8" s="133">
        <f t="shared" ref="D8:E8" si="0">SUM(D6:D7)</f>
        <v>7</v>
      </c>
      <c r="E8" s="133">
        <f t="shared" si="0"/>
        <v>12</v>
      </c>
      <c r="J8" s="11"/>
      <c r="K8" s="11"/>
      <c r="L8" s="11"/>
      <c r="M8" s="11"/>
      <c r="N8" s="11"/>
      <c r="O8" s="11"/>
      <c r="P8" s="11"/>
    </row>
    <row r="9" spans="1:16" x14ac:dyDescent="0.25">
      <c r="J9" s="11"/>
      <c r="K9" s="11"/>
      <c r="L9" s="11"/>
      <c r="M9" s="11"/>
      <c r="N9" s="11"/>
      <c r="O9" s="11"/>
      <c r="P9" s="11"/>
    </row>
    <row r="10" spans="1:16" x14ac:dyDescent="0.25">
      <c r="B10" s="132"/>
      <c r="C10" s="185" t="s">
        <v>305</v>
      </c>
      <c r="D10" s="185" t="s">
        <v>304</v>
      </c>
      <c r="E10" s="185" t="s">
        <v>306</v>
      </c>
      <c r="F10" s="195" t="s">
        <v>342</v>
      </c>
      <c r="G10" s="185" t="s">
        <v>308</v>
      </c>
      <c r="J10" s="11"/>
      <c r="K10" s="11"/>
      <c r="L10" s="11"/>
      <c r="M10" s="11"/>
      <c r="N10" s="11"/>
      <c r="O10" s="11"/>
      <c r="P10" s="11"/>
    </row>
    <row r="11" spans="1:16" x14ac:dyDescent="0.25">
      <c r="B11" s="201" t="s">
        <v>302</v>
      </c>
      <c r="C11" s="134">
        <f>C6/C8</f>
        <v>0.33333333333333331</v>
      </c>
      <c r="D11" s="134">
        <f>D6/$D$8</f>
        <v>0.5714285714285714</v>
      </c>
      <c r="E11" s="134">
        <f>E6/$E$8</f>
        <v>0.41666666666666669</v>
      </c>
      <c r="F11" s="196">
        <f>SUM(C11:E11)</f>
        <v>1.3214285714285714</v>
      </c>
      <c r="G11" s="197">
        <f>F11/3</f>
        <v>0.44047619047619047</v>
      </c>
      <c r="J11" s="11"/>
      <c r="K11" s="11"/>
      <c r="L11" s="11"/>
      <c r="M11" s="11"/>
      <c r="N11" s="11"/>
      <c r="O11" s="11"/>
      <c r="P11" s="11"/>
    </row>
    <row r="12" spans="1:16" x14ac:dyDescent="0.25">
      <c r="B12" s="201" t="s">
        <v>303</v>
      </c>
      <c r="C12" s="134">
        <f>C7/$C$8</f>
        <v>0.66666666666666663</v>
      </c>
      <c r="D12" s="134">
        <f>D7/$D$8</f>
        <v>0.42857142857142855</v>
      </c>
      <c r="E12" s="134">
        <f>E7/$E$8</f>
        <v>0.58333333333333337</v>
      </c>
      <c r="F12" s="196">
        <f>SUM(C12:E12)</f>
        <v>1.6785714285714284</v>
      </c>
      <c r="G12" s="197">
        <f>F12/3</f>
        <v>0.55952380952380942</v>
      </c>
      <c r="J12" s="11"/>
      <c r="K12" s="11"/>
      <c r="L12" s="11"/>
      <c r="M12" s="11"/>
      <c r="N12" s="11"/>
      <c r="O12" s="11"/>
      <c r="P12" s="11"/>
    </row>
    <row r="13" spans="1:16" x14ac:dyDescent="0.25">
      <c r="B13" s="176" t="s">
        <v>342</v>
      </c>
      <c r="C13" s="135">
        <f>SUM(C11:C12)</f>
        <v>1</v>
      </c>
      <c r="D13" s="135">
        <f t="shared" ref="D13:E13" si="1">SUM(D11:D12)</f>
        <v>1</v>
      </c>
      <c r="E13" s="135">
        <f t="shared" si="1"/>
        <v>1</v>
      </c>
      <c r="F13" s="198">
        <f>SUM(F11:F12)</f>
        <v>3</v>
      </c>
      <c r="G13" s="199">
        <f>F13/3</f>
        <v>1</v>
      </c>
      <c r="J13" s="11"/>
      <c r="K13" s="11"/>
      <c r="L13" s="11"/>
      <c r="M13" s="11"/>
      <c r="N13" s="11"/>
      <c r="O13" s="11"/>
      <c r="P13" s="11"/>
    </row>
    <row r="14" spans="1:16" x14ac:dyDescent="0.25">
      <c r="J14" s="11"/>
      <c r="K14" s="11"/>
      <c r="L14" s="11"/>
      <c r="M14" s="11"/>
      <c r="N14" s="11"/>
      <c r="O14" s="11"/>
      <c r="P14" s="11"/>
    </row>
    <row r="15" spans="1:16" x14ac:dyDescent="0.25">
      <c r="J15" s="11"/>
      <c r="K15" s="11"/>
      <c r="L15" s="11"/>
      <c r="M15" s="11"/>
      <c r="N15" s="11"/>
      <c r="O15" s="11"/>
      <c r="P15" s="11"/>
    </row>
    <row r="16" spans="1:16" x14ac:dyDescent="0.25">
      <c r="B16" s="194" t="s">
        <v>309</v>
      </c>
      <c r="C16" s="194" t="s">
        <v>310</v>
      </c>
      <c r="D16" s="194" t="s">
        <v>315</v>
      </c>
      <c r="E16" s="194" t="s">
        <v>318</v>
      </c>
      <c r="H16" s="11"/>
      <c r="I16" s="11"/>
      <c r="J16" s="11"/>
      <c r="K16" s="11"/>
      <c r="L16" s="11"/>
      <c r="M16" s="11"/>
      <c r="N16" s="11"/>
    </row>
    <row r="17" spans="2:17" ht="45" x14ac:dyDescent="0.25">
      <c r="B17" s="194" t="s">
        <v>302</v>
      </c>
      <c r="C17" s="137" t="s">
        <v>311</v>
      </c>
      <c r="D17" s="137" t="s">
        <v>313</v>
      </c>
      <c r="E17" s="137" t="s">
        <v>316</v>
      </c>
      <c r="H17" s="11"/>
      <c r="I17" s="11"/>
      <c r="J17" s="11"/>
      <c r="K17" s="11"/>
      <c r="L17" s="11"/>
      <c r="M17" s="11"/>
      <c r="N17" s="11"/>
    </row>
    <row r="18" spans="2:17" ht="30" x14ac:dyDescent="0.25">
      <c r="B18" s="194" t="s">
        <v>303</v>
      </c>
      <c r="C18" s="137" t="s">
        <v>312</v>
      </c>
      <c r="D18" s="137" t="s">
        <v>314</v>
      </c>
      <c r="E18" s="137" t="s">
        <v>317</v>
      </c>
      <c r="H18" s="11"/>
      <c r="I18" s="11"/>
      <c r="J18" s="11"/>
      <c r="K18" s="11"/>
      <c r="L18" s="11"/>
      <c r="M18" s="11"/>
      <c r="N18" s="11"/>
    </row>
    <row r="19" spans="2:17" x14ac:dyDescent="0.25">
      <c r="J19" s="11"/>
      <c r="K19" s="11"/>
      <c r="L19" s="11"/>
      <c r="M19" s="11"/>
      <c r="N19" s="11"/>
      <c r="O19" s="11"/>
      <c r="P19" s="11"/>
    </row>
    <row r="20" spans="2:17" x14ac:dyDescent="0.25">
      <c r="B20" s="192"/>
      <c r="C20" s="192" t="s">
        <v>315</v>
      </c>
      <c r="D20" s="192" t="s">
        <v>321</v>
      </c>
      <c r="E20" s="194" t="s">
        <v>310</v>
      </c>
      <c r="F20" s="44"/>
      <c r="J20" s="112"/>
      <c r="K20" s="112"/>
      <c r="L20" s="112"/>
      <c r="M20" s="112"/>
      <c r="N20" s="113"/>
    </row>
    <row r="21" spans="2:17" x14ac:dyDescent="0.25">
      <c r="B21" s="192" t="s">
        <v>322</v>
      </c>
      <c r="C21" s="138">
        <v>1</v>
      </c>
      <c r="D21" s="139">
        <v>7</v>
      </c>
      <c r="E21" s="140">
        <v>5</v>
      </c>
      <c r="F21" s="115"/>
      <c r="J21" s="112"/>
      <c r="K21" s="112"/>
      <c r="L21" s="1"/>
      <c r="M21" s="44"/>
      <c r="N21" s="44"/>
      <c r="O21" s="44"/>
      <c r="P21" s="44"/>
      <c r="Q21" s="114"/>
    </row>
    <row r="22" spans="2:17" x14ac:dyDescent="0.25">
      <c r="B22" s="192" t="s">
        <v>321</v>
      </c>
      <c r="C22" s="141" t="s">
        <v>319</v>
      </c>
      <c r="D22" s="142">
        <v>1</v>
      </c>
      <c r="E22" s="143">
        <v>5</v>
      </c>
      <c r="F22" s="115"/>
      <c r="J22" s="112"/>
      <c r="K22" s="112"/>
      <c r="L22" s="44"/>
      <c r="M22" s="1"/>
      <c r="N22" s="1"/>
      <c r="O22" s="1"/>
      <c r="P22" s="1"/>
      <c r="Q22" s="1"/>
    </row>
    <row r="23" spans="2:17" x14ac:dyDescent="0.25">
      <c r="B23" s="194" t="s">
        <v>310</v>
      </c>
      <c r="C23" s="144" t="s">
        <v>320</v>
      </c>
      <c r="D23" s="145" t="s">
        <v>320</v>
      </c>
      <c r="E23" s="146">
        <v>1</v>
      </c>
      <c r="F23" s="115"/>
      <c r="J23" s="112"/>
      <c r="K23" s="112"/>
      <c r="L23" s="44"/>
      <c r="M23" s="1"/>
      <c r="N23" s="1"/>
      <c r="O23" s="1"/>
      <c r="P23" s="1"/>
      <c r="Q23" s="1"/>
    </row>
    <row r="24" spans="2:17" x14ac:dyDescent="0.25">
      <c r="B24" s="44"/>
      <c r="C24" s="117"/>
      <c r="D24" s="116"/>
      <c r="E24" s="117"/>
      <c r="F24" s="115"/>
      <c r="J24" s="112"/>
      <c r="K24" s="112"/>
      <c r="L24" s="44"/>
      <c r="M24" s="1"/>
      <c r="N24" s="1"/>
      <c r="O24" s="1"/>
      <c r="P24" s="1"/>
      <c r="Q24" s="1"/>
    </row>
    <row r="25" spans="2:17" x14ac:dyDescent="0.25">
      <c r="B25" s="131"/>
      <c r="C25" s="192" t="s">
        <v>315</v>
      </c>
      <c r="D25" s="192" t="s">
        <v>321</v>
      </c>
      <c r="E25" s="194" t="s">
        <v>310</v>
      </c>
      <c r="F25" s="115"/>
      <c r="J25" s="112"/>
      <c r="K25" s="112"/>
      <c r="L25" s="44"/>
      <c r="M25" s="1"/>
      <c r="N25" s="1"/>
      <c r="O25" s="1"/>
      <c r="P25" s="1"/>
      <c r="Q25" s="1"/>
    </row>
    <row r="26" spans="2:17" x14ac:dyDescent="0.25">
      <c r="B26" s="192" t="s">
        <v>322</v>
      </c>
      <c r="C26" s="122">
        <v>1</v>
      </c>
      <c r="D26" s="123">
        <v>7</v>
      </c>
      <c r="E26" s="124">
        <v>5</v>
      </c>
      <c r="F26" s="46"/>
      <c r="J26" s="112"/>
      <c r="K26" s="112"/>
      <c r="L26" s="114"/>
      <c r="M26" s="1"/>
      <c r="N26" s="1"/>
      <c r="O26" s="1"/>
      <c r="P26" s="1"/>
      <c r="Q26" s="1"/>
    </row>
    <row r="27" spans="2:17" x14ac:dyDescent="0.25">
      <c r="B27" s="192" t="s">
        <v>321</v>
      </c>
      <c r="C27" s="125">
        <v>0.14285714285714285</v>
      </c>
      <c r="D27" s="126">
        <v>1</v>
      </c>
      <c r="E27" s="147">
        <v>5</v>
      </c>
      <c r="F27" s="46"/>
      <c r="J27" s="112"/>
      <c r="K27" s="112"/>
      <c r="L27" s="112"/>
      <c r="M27" s="112"/>
    </row>
    <row r="28" spans="2:17" x14ac:dyDescent="0.25">
      <c r="B28" s="194" t="s">
        <v>310</v>
      </c>
      <c r="C28" s="128">
        <v>0.2</v>
      </c>
      <c r="D28" s="129">
        <v>0.2</v>
      </c>
      <c r="E28" s="148">
        <v>1</v>
      </c>
      <c r="F28" s="46"/>
      <c r="J28" s="112"/>
      <c r="K28" s="112"/>
      <c r="L28" s="112"/>
      <c r="M28" s="112"/>
    </row>
    <row r="29" spans="2:17" x14ac:dyDescent="0.25">
      <c r="B29" s="192" t="s">
        <v>307</v>
      </c>
      <c r="C29" s="193">
        <f>SUM(C26:C28)</f>
        <v>1.3428571428571427</v>
      </c>
      <c r="D29" s="193">
        <f t="shared" ref="D29:E29" si="2">SUM(D26:D28)</f>
        <v>8.1999999999999993</v>
      </c>
      <c r="E29" s="193">
        <f t="shared" si="2"/>
        <v>11</v>
      </c>
      <c r="F29" s="46"/>
      <c r="J29" s="112"/>
      <c r="K29" s="112"/>
      <c r="L29" s="112"/>
      <c r="M29" s="112"/>
    </row>
    <row r="30" spans="2:17" x14ac:dyDescent="0.25">
      <c r="J30" s="112"/>
      <c r="K30" s="112"/>
      <c r="L30" s="112"/>
      <c r="M30" s="112"/>
    </row>
    <row r="31" spans="2:17" x14ac:dyDescent="0.25">
      <c r="B31" s="131"/>
      <c r="C31" s="192" t="s">
        <v>315</v>
      </c>
      <c r="D31" s="192" t="s">
        <v>321</v>
      </c>
      <c r="E31" s="194" t="s">
        <v>310</v>
      </c>
      <c r="F31" s="192" t="s">
        <v>307</v>
      </c>
      <c r="G31" s="192" t="s">
        <v>308</v>
      </c>
    </row>
    <row r="32" spans="2:17" x14ac:dyDescent="0.25">
      <c r="B32" s="192" t="s">
        <v>322</v>
      </c>
      <c r="C32" s="122">
        <f>C26/$C$29</f>
        <v>0.74468085106382986</v>
      </c>
      <c r="D32" s="123">
        <f>D26/$D$29</f>
        <v>0.85365853658536595</v>
      </c>
      <c r="E32" s="124">
        <f>E26/$E$29</f>
        <v>0.45454545454545453</v>
      </c>
      <c r="F32" s="193">
        <f>SUM(C32:E32)</f>
        <v>2.0528848421946502</v>
      </c>
      <c r="G32" s="193">
        <f>F32/3</f>
        <v>0.68429494739821672</v>
      </c>
    </row>
    <row r="33" spans="2:12" x14ac:dyDescent="0.25">
      <c r="B33" s="192" t="s">
        <v>321</v>
      </c>
      <c r="C33" s="125">
        <f t="shared" ref="C33" si="3">C27/$C$29</f>
        <v>0.10638297872340426</v>
      </c>
      <c r="D33" s="126">
        <f t="shared" ref="D33:D34" si="4">D27/$D$29</f>
        <v>0.12195121951219513</v>
      </c>
      <c r="E33" s="127">
        <f t="shared" ref="E33:E34" si="5">E27/$E$29</f>
        <v>0.45454545454545453</v>
      </c>
      <c r="F33" s="193">
        <f t="shared" ref="F33:F35" si="6">SUM(C33:E33)</f>
        <v>0.68287965278105389</v>
      </c>
      <c r="G33" s="193">
        <f t="shared" ref="G33:G34" si="7">F33/3</f>
        <v>0.22762655092701797</v>
      </c>
    </row>
    <row r="34" spans="2:12" x14ac:dyDescent="0.25">
      <c r="B34" s="194" t="s">
        <v>310</v>
      </c>
      <c r="C34" s="128">
        <f>C28/$C$29</f>
        <v>0.14893617021276598</v>
      </c>
      <c r="D34" s="129">
        <f t="shared" si="4"/>
        <v>2.4390243902439029E-2</v>
      </c>
      <c r="E34" s="130">
        <f t="shared" si="5"/>
        <v>9.0909090909090912E-2</v>
      </c>
      <c r="F34" s="193">
        <f t="shared" si="6"/>
        <v>0.26423550502429594</v>
      </c>
      <c r="G34" s="193">
        <f t="shared" si="7"/>
        <v>8.8078501674765317E-2</v>
      </c>
    </row>
    <row r="35" spans="2:12" x14ac:dyDescent="0.25">
      <c r="B35" s="192" t="s">
        <v>307</v>
      </c>
      <c r="C35" s="193">
        <f>SUM(C32:C34)</f>
        <v>1.0000000000000002</v>
      </c>
      <c r="D35" s="193">
        <f>SUM(D32:D34)</f>
        <v>1</v>
      </c>
      <c r="E35" s="193">
        <f>SUM(E32:E34)</f>
        <v>1</v>
      </c>
      <c r="F35" s="193">
        <f t="shared" si="6"/>
        <v>3</v>
      </c>
      <c r="G35" s="131"/>
    </row>
    <row r="37" spans="2:12" x14ac:dyDescent="0.25">
      <c r="B37" s="192" t="s">
        <v>315</v>
      </c>
      <c r="C37" s="192" t="s">
        <v>302</v>
      </c>
      <c r="D37" s="231" t="s">
        <v>303</v>
      </c>
      <c r="E37" s="232" t="s">
        <v>373</v>
      </c>
      <c r="G37" s="192" t="s">
        <v>315</v>
      </c>
      <c r="H37" s="192" t="s">
        <v>302</v>
      </c>
      <c r="I37" s="231" t="s">
        <v>303</v>
      </c>
      <c r="J37" s="232" t="s">
        <v>373</v>
      </c>
    </row>
    <row r="38" spans="2:12" x14ac:dyDescent="0.25">
      <c r="B38" s="192" t="s">
        <v>302</v>
      </c>
      <c r="C38" s="149">
        <v>1</v>
      </c>
      <c r="D38" s="228">
        <v>5</v>
      </c>
      <c r="E38" s="237">
        <f>J38</f>
        <v>0.83333333333333337</v>
      </c>
      <c r="G38" s="192" t="s">
        <v>302</v>
      </c>
      <c r="H38" s="233">
        <f>C38/$C$40</f>
        <v>0.83333333333333337</v>
      </c>
      <c r="I38" s="234">
        <f>D38/$D$40</f>
        <v>0.83333333333333337</v>
      </c>
      <c r="J38" s="235">
        <f>(H38+I38)/2</f>
        <v>0.83333333333333337</v>
      </c>
    </row>
    <row r="39" spans="2:12" x14ac:dyDescent="0.25">
      <c r="B39" s="170" t="s">
        <v>303</v>
      </c>
      <c r="C39" s="238">
        <v>0.2</v>
      </c>
      <c r="D39" s="155">
        <v>1</v>
      </c>
      <c r="E39" s="237">
        <f>J39</f>
        <v>0.16666666666666669</v>
      </c>
      <c r="G39" s="192" t="s">
        <v>303</v>
      </c>
      <c r="H39" s="243">
        <f>C39/$C$40</f>
        <v>0.16666666666666669</v>
      </c>
      <c r="I39" s="244">
        <f>D39/$D$40</f>
        <v>0.16666666666666666</v>
      </c>
      <c r="J39" s="245">
        <f>(H39+I39)/2</f>
        <v>0.16666666666666669</v>
      </c>
    </row>
    <row r="40" spans="2:12" x14ac:dyDescent="0.25">
      <c r="B40" s="192" t="s">
        <v>374</v>
      </c>
      <c r="C40" s="240">
        <f>SUM(C38:C39)</f>
        <v>1.2</v>
      </c>
      <c r="D40" s="240">
        <f>SUM(D38:D39)</f>
        <v>6</v>
      </c>
      <c r="E40" s="241">
        <f>SUM(E38:E39)</f>
        <v>1</v>
      </c>
    </row>
    <row r="41" spans="2:12" x14ac:dyDescent="0.25">
      <c r="K41" s="46"/>
      <c r="L41" s="46"/>
    </row>
    <row r="42" spans="2:12" x14ac:dyDescent="0.25">
      <c r="B42" s="192" t="s">
        <v>321</v>
      </c>
      <c r="C42" s="192" t="s">
        <v>302</v>
      </c>
      <c r="D42" s="231" t="s">
        <v>303</v>
      </c>
      <c r="E42" s="232" t="s">
        <v>373</v>
      </c>
      <c r="G42" s="192" t="s">
        <v>321</v>
      </c>
      <c r="H42" s="192" t="s">
        <v>302</v>
      </c>
      <c r="I42" s="231" t="s">
        <v>303</v>
      </c>
      <c r="J42" s="232" t="s">
        <v>373</v>
      </c>
      <c r="L42" s="46"/>
    </row>
    <row r="43" spans="2:12" x14ac:dyDescent="0.25">
      <c r="B43" s="192" t="s">
        <v>302</v>
      </c>
      <c r="C43" s="149">
        <v>1</v>
      </c>
      <c r="D43" s="228">
        <v>7</v>
      </c>
      <c r="E43" s="237">
        <f>J43</f>
        <v>0.87500000109374998</v>
      </c>
      <c r="G43" s="192" t="s">
        <v>302</v>
      </c>
      <c r="H43" s="149">
        <f>C43/$C$45</f>
        <v>0.87500000218749996</v>
      </c>
      <c r="I43" s="228">
        <f>D43/$D$45</f>
        <v>0.875</v>
      </c>
      <c r="J43" s="229">
        <f>(H43+I43)/2</f>
        <v>0.87500000109374998</v>
      </c>
      <c r="L43" s="46"/>
    </row>
    <row r="44" spans="2:12" x14ac:dyDescent="0.25">
      <c r="B44" s="170" t="s">
        <v>303</v>
      </c>
      <c r="C44" s="239">
        <v>0.14285713999999999</v>
      </c>
      <c r="D44" s="155">
        <v>1</v>
      </c>
      <c r="E44" s="237">
        <f>J44</f>
        <v>0.12499999890624999</v>
      </c>
      <c r="G44" s="192" t="s">
        <v>303</v>
      </c>
      <c r="H44" s="161">
        <f>C44/$C$45</f>
        <v>0.12499999781249999</v>
      </c>
      <c r="I44" s="240">
        <f>D44/$D$45</f>
        <v>0.125</v>
      </c>
      <c r="J44" s="230">
        <f>(H44+I44)/2</f>
        <v>0.12499999890624999</v>
      </c>
      <c r="L44" s="46"/>
    </row>
    <row r="45" spans="2:12" x14ac:dyDescent="0.25">
      <c r="B45" s="192" t="s">
        <v>374</v>
      </c>
      <c r="C45" s="242">
        <f>SUM(C43:C44)</f>
        <v>1.14285714</v>
      </c>
      <c r="D45" s="240">
        <f>SUM(D43:D44)</f>
        <v>8</v>
      </c>
      <c r="E45" s="241">
        <f>SUM(E43:E44)</f>
        <v>1</v>
      </c>
      <c r="K45" s="46"/>
    </row>
    <row r="47" spans="2:12" x14ac:dyDescent="0.25">
      <c r="B47" s="192" t="s">
        <v>310</v>
      </c>
      <c r="C47" s="192" t="s">
        <v>302</v>
      </c>
      <c r="D47" s="231" t="s">
        <v>303</v>
      </c>
      <c r="E47" s="232" t="s">
        <v>373</v>
      </c>
      <c r="G47" s="192" t="s">
        <v>310</v>
      </c>
      <c r="H47" s="192" t="s">
        <v>302</v>
      </c>
      <c r="I47" s="231" t="s">
        <v>303</v>
      </c>
      <c r="J47" s="232" t="s">
        <v>373</v>
      </c>
    </row>
    <row r="48" spans="2:12" x14ac:dyDescent="0.25">
      <c r="B48" s="192" t="s">
        <v>302</v>
      </c>
      <c r="C48" s="149">
        <v>1</v>
      </c>
      <c r="D48" s="236">
        <v>0.14285713999999999</v>
      </c>
      <c r="E48" s="237">
        <f>J48</f>
        <v>0.12499999890624999</v>
      </c>
      <c r="G48" s="192" t="s">
        <v>302</v>
      </c>
      <c r="H48" s="149">
        <f>C48/$C$50</f>
        <v>0.125</v>
      </c>
      <c r="I48" s="234">
        <f>D48/$D$50</f>
        <v>0.12499999781249999</v>
      </c>
      <c r="J48" s="229">
        <f>(H48+I48)/2</f>
        <v>0.12499999890624999</v>
      </c>
    </row>
    <row r="49" spans="2:10" x14ac:dyDescent="0.25">
      <c r="B49" s="170" t="s">
        <v>303</v>
      </c>
      <c r="C49" s="238">
        <v>7</v>
      </c>
      <c r="D49" s="155">
        <v>1</v>
      </c>
      <c r="E49" s="237">
        <f>J49</f>
        <v>0.87500000109374998</v>
      </c>
      <c r="G49" s="192" t="s">
        <v>303</v>
      </c>
      <c r="H49" s="161">
        <f>C49/$C$50</f>
        <v>0.875</v>
      </c>
      <c r="I49" s="244">
        <f>D49/$D$50</f>
        <v>0.87500000218749996</v>
      </c>
      <c r="J49" s="230">
        <f>(H49+I49)/2</f>
        <v>0.87500000109374998</v>
      </c>
    </row>
    <row r="50" spans="2:10" x14ac:dyDescent="0.25">
      <c r="B50" s="192" t="s">
        <v>374</v>
      </c>
      <c r="C50" s="240">
        <f>SUM(C48:C49)</f>
        <v>8</v>
      </c>
      <c r="D50" s="242">
        <f>SUM(D48:D49)</f>
        <v>1.14285714</v>
      </c>
      <c r="E50" s="241">
        <f>SUM(E48:E49)</f>
        <v>1</v>
      </c>
    </row>
    <row r="52" spans="2:10" x14ac:dyDescent="0.25">
      <c r="B52" s="264" t="s">
        <v>378</v>
      </c>
      <c r="C52" s="264"/>
      <c r="D52" s="264"/>
      <c r="E52" s="264"/>
      <c r="F52" s="264"/>
    </row>
    <row r="53" spans="2:10" x14ac:dyDescent="0.25">
      <c r="B53" s="261" t="s">
        <v>375</v>
      </c>
      <c r="C53" s="192" t="s">
        <v>315</v>
      </c>
      <c r="D53" s="192" t="s">
        <v>321</v>
      </c>
      <c r="E53" s="192" t="s">
        <v>376</v>
      </c>
      <c r="F53" s="262" t="s">
        <v>377</v>
      </c>
    </row>
    <row r="54" spans="2:10" ht="15.75" thickBot="1" x14ac:dyDescent="0.3">
      <c r="B54" s="261"/>
      <c r="C54" s="246">
        <f>G32</f>
        <v>0.68429494739821672</v>
      </c>
      <c r="D54" s="246">
        <f>G33</f>
        <v>0.22762655092701797</v>
      </c>
      <c r="E54" s="246">
        <f>G34</f>
        <v>8.8078501674765317E-2</v>
      </c>
      <c r="F54" s="263"/>
    </row>
    <row r="55" spans="2:10" ht="15.75" thickTop="1" x14ac:dyDescent="0.25">
      <c r="B55" s="192" t="s">
        <v>302</v>
      </c>
      <c r="C55" s="248">
        <f>E38</f>
        <v>0.83333333333333337</v>
      </c>
      <c r="D55" s="248">
        <f>E43</f>
        <v>0.87500000109374998</v>
      </c>
      <c r="E55" s="248">
        <f>E48</f>
        <v>0.12499999890624999</v>
      </c>
      <c r="F55" s="250">
        <f>C55*$C$54+D55*$D$54+E55*$E$54</f>
        <v>0.78042883442163102</v>
      </c>
    </row>
    <row r="56" spans="2:10" ht="15.75" thickBot="1" x14ac:dyDescent="0.3">
      <c r="B56" s="192" t="s">
        <v>303</v>
      </c>
      <c r="C56" s="249">
        <f>E39</f>
        <v>0.16666666666666669</v>
      </c>
      <c r="D56" s="249">
        <f>E44</f>
        <v>0.12499999890624999</v>
      </c>
      <c r="E56" s="249">
        <f>E49</f>
        <v>0.87500000109374998</v>
      </c>
      <c r="F56" s="249">
        <f t="shared" ref="F56:F57" si="8">C56*$C$54+D56*$D$54+E56*$E$54</f>
        <v>0.219571165578369</v>
      </c>
    </row>
    <row r="57" spans="2:10" ht="15.75" thickTop="1" x14ac:dyDescent="0.25">
      <c r="B57" s="192" t="s">
        <v>307</v>
      </c>
      <c r="C57" s="247">
        <f>SUM(C55:C56)</f>
        <v>1</v>
      </c>
      <c r="D57" s="247">
        <f>SUM(D55:D56)</f>
        <v>1</v>
      </c>
      <c r="E57" s="247">
        <f>SUM(E55:E56)</f>
        <v>1</v>
      </c>
      <c r="F57" s="247">
        <f t="shared" si="8"/>
        <v>1</v>
      </c>
    </row>
  </sheetData>
  <mergeCells count="3">
    <mergeCell ref="B53:B54"/>
    <mergeCell ref="F53:F54"/>
    <mergeCell ref="B52:F5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workbookViewId="0">
      <selection activeCell="A25" sqref="A25"/>
    </sheetView>
  </sheetViews>
  <sheetFormatPr defaultRowHeight="15" x14ac:dyDescent="0.25"/>
  <cols>
    <col min="1" max="1" width="14.7109375" bestFit="1" customWidth="1"/>
    <col min="5" max="5" width="12.28515625" customWidth="1"/>
  </cols>
  <sheetData>
    <row r="1" spans="1:11" ht="15" customHeight="1" x14ac:dyDescent="0.25">
      <c r="A1" s="283" t="s">
        <v>326</v>
      </c>
      <c r="B1" s="283"/>
      <c r="C1" s="283"/>
      <c r="D1" s="283"/>
      <c r="E1" s="283"/>
      <c r="F1" s="283"/>
      <c r="G1" s="283"/>
      <c r="H1" s="283"/>
      <c r="I1" s="283"/>
      <c r="J1" s="11"/>
      <c r="K1" s="11"/>
    </row>
    <row r="2" spans="1:11" x14ac:dyDescent="0.25">
      <c r="A2" s="283"/>
      <c r="B2" s="283"/>
      <c r="C2" s="283"/>
      <c r="D2" s="283"/>
      <c r="E2" s="283"/>
      <c r="F2" s="283"/>
      <c r="G2" s="283"/>
      <c r="H2" s="283"/>
      <c r="I2" s="283"/>
      <c r="J2" s="11"/>
      <c r="K2" s="11"/>
    </row>
    <row r="3" spans="1:11" x14ac:dyDescent="0.25">
      <c r="A3" s="283"/>
      <c r="B3" s="283"/>
      <c r="C3" s="283"/>
      <c r="D3" s="283"/>
      <c r="E3" s="283"/>
      <c r="F3" s="283"/>
      <c r="G3" s="283"/>
      <c r="H3" s="283"/>
      <c r="I3" s="283"/>
      <c r="J3" s="11"/>
      <c r="K3" s="11"/>
    </row>
    <row r="4" spans="1:11" x14ac:dyDescent="0.25">
      <c r="A4" s="283"/>
      <c r="B4" s="283"/>
      <c r="C4" s="283"/>
      <c r="D4" s="283"/>
      <c r="E4" s="283"/>
      <c r="F4" s="283"/>
      <c r="G4" s="283"/>
      <c r="H4" s="283"/>
      <c r="I4" s="283"/>
      <c r="J4" s="11"/>
      <c r="K4" s="11"/>
    </row>
    <row r="5" spans="1:11" x14ac:dyDescent="0.25">
      <c r="A5" s="132" t="s">
        <v>323</v>
      </c>
      <c r="B5" s="159">
        <v>60</v>
      </c>
      <c r="D5" s="11"/>
      <c r="E5" s="11"/>
      <c r="F5" s="11"/>
      <c r="G5" s="11"/>
      <c r="H5" s="11"/>
      <c r="I5" s="11"/>
      <c r="J5" s="11"/>
      <c r="K5" s="11"/>
    </row>
    <row r="6" spans="1:11" x14ac:dyDescent="0.25">
      <c r="A6" s="160" t="s">
        <v>324</v>
      </c>
      <c r="B6" s="161">
        <v>110</v>
      </c>
    </row>
    <row r="7" spans="1:11" x14ac:dyDescent="0.25">
      <c r="A7" s="136" t="s">
        <v>325</v>
      </c>
      <c r="B7" s="149">
        <f>B6-B5</f>
        <v>50</v>
      </c>
    </row>
    <row r="9" spans="1:11" x14ac:dyDescent="0.25">
      <c r="A9" s="282" t="s">
        <v>329</v>
      </c>
      <c r="B9" s="264"/>
      <c r="C9" s="264"/>
      <c r="D9" s="264"/>
      <c r="E9" s="264"/>
      <c r="F9" s="264"/>
      <c r="G9" s="264"/>
      <c r="H9" s="264"/>
      <c r="I9" s="264"/>
      <c r="J9" s="274"/>
    </row>
    <row r="10" spans="1:11" x14ac:dyDescent="0.25">
      <c r="A10" s="268" t="s">
        <v>325</v>
      </c>
      <c r="B10" s="269"/>
      <c r="C10" s="264" t="s">
        <v>327</v>
      </c>
      <c r="D10" s="264"/>
      <c r="E10" s="264"/>
      <c r="F10" s="264"/>
      <c r="G10" s="264"/>
      <c r="H10" s="264"/>
      <c r="I10" s="264"/>
      <c r="J10" s="274"/>
    </row>
    <row r="11" spans="1:11" ht="15.75" thickBot="1" x14ac:dyDescent="0.3">
      <c r="A11" s="284"/>
      <c r="B11" s="285"/>
      <c r="C11" s="164">
        <v>10</v>
      </c>
      <c r="D11" s="170">
        <v>11</v>
      </c>
      <c r="E11" s="170">
        <v>12</v>
      </c>
      <c r="F11" s="170">
        <v>13</v>
      </c>
      <c r="G11" s="170">
        <v>14</v>
      </c>
      <c r="H11" s="171">
        <v>15</v>
      </c>
      <c r="I11" s="164" t="s">
        <v>330</v>
      </c>
      <c r="J11" s="165" t="s">
        <v>331</v>
      </c>
    </row>
    <row r="12" spans="1:11" ht="15.75" thickTop="1" x14ac:dyDescent="0.25">
      <c r="A12" s="265" t="s">
        <v>328</v>
      </c>
      <c r="B12" s="167">
        <v>10</v>
      </c>
      <c r="C12" s="150">
        <v>60</v>
      </c>
      <c r="D12" s="151">
        <v>60</v>
      </c>
      <c r="E12" s="151">
        <v>60</v>
      </c>
      <c r="F12" s="151">
        <v>60</v>
      </c>
      <c r="G12" s="151">
        <v>60</v>
      </c>
      <c r="H12" s="151">
        <v>60</v>
      </c>
      <c r="I12" s="162">
        <f>MIN(C12:H12)</f>
        <v>60</v>
      </c>
      <c r="J12" s="155">
        <f>MAX(C12:H12)</f>
        <v>60</v>
      </c>
    </row>
    <row r="13" spans="1:11" x14ac:dyDescent="0.25">
      <c r="A13" s="266"/>
      <c r="B13" s="168">
        <v>11</v>
      </c>
      <c r="C13" s="154">
        <v>0</v>
      </c>
      <c r="D13" s="155">
        <v>110</v>
      </c>
      <c r="E13" s="155">
        <v>110</v>
      </c>
      <c r="F13" s="155">
        <v>110</v>
      </c>
      <c r="G13" s="155">
        <v>110</v>
      </c>
      <c r="H13" s="155">
        <v>110</v>
      </c>
      <c r="I13" s="154">
        <f t="shared" ref="I13:I17" si="0">MIN(C13:H13)</f>
        <v>0</v>
      </c>
      <c r="J13" s="155">
        <f t="shared" ref="J13:J17" si="1">MAX(C13:H13)</f>
        <v>110</v>
      </c>
    </row>
    <row r="14" spans="1:11" x14ac:dyDescent="0.25">
      <c r="A14" s="266"/>
      <c r="B14" s="168">
        <v>12</v>
      </c>
      <c r="C14" s="154">
        <v>-60</v>
      </c>
      <c r="D14" s="155">
        <v>50</v>
      </c>
      <c r="E14" s="155">
        <v>160</v>
      </c>
      <c r="F14" s="155">
        <v>160</v>
      </c>
      <c r="G14" s="155">
        <v>160</v>
      </c>
      <c r="H14" s="155">
        <v>160</v>
      </c>
      <c r="I14" s="154">
        <f t="shared" si="0"/>
        <v>-60</v>
      </c>
      <c r="J14" s="155">
        <f t="shared" si="1"/>
        <v>160</v>
      </c>
    </row>
    <row r="15" spans="1:11" x14ac:dyDescent="0.25">
      <c r="A15" s="266"/>
      <c r="B15" s="168">
        <v>13</v>
      </c>
      <c r="C15" s="154">
        <v>-120</v>
      </c>
      <c r="D15" s="155">
        <v>-10</v>
      </c>
      <c r="E15" s="155">
        <v>100</v>
      </c>
      <c r="F15" s="155">
        <v>210</v>
      </c>
      <c r="G15" s="155">
        <v>210</v>
      </c>
      <c r="H15" s="155">
        <v>210</v>
      </c>
      <c r="I15" s="154">
        <f t="shared" si="0"/>
        <v>-120</v>
      </c>
      <c r="J15" s="155">
        <f t="shared" si="1"/>
        <v>210</v>
      </c>
    </row>
    <row r="16" spans="1:11" x14ac:dyDescent="0.25">
      <c r="A16" s="266"/>
      <c r="B16" s="168">
        <v>14</v>
      </c>
      <c r="C16" s="154">
        <v>-180</v>
      </c>
      <c r="D16" s="155">
        <v>-70</v>
      </c>
      <c r="E16" s="155">
        <v>40</v>
      </c>
      <c r="F16" s="155">
        <v>150</v>
      </c>
      <c r="G16" s="155">
        <v>260</v>
      </c>
      <c r="H16" s="155">
        <v>260</v>
      </c>
      <c r="I16" s="154">
        <f t="shared" si="0"/>
        <v>-180</v>
      </c>
      <c r="J16" s="155">
        <f t="shared" si="1"/>
        <v>260</v>
      </c>
    </row>
    <row r="17" spans="1:10" ht="15.75" thickBot="1" x14ac:dyDescent="0.3">
      <c r="A17" s="286"/>
      <c r="B17" s="169">
        <v>15</v>
      </c>
      <c r="C17" s="157">
        <v>-240</v>
      </c>
      <c r="D17" s="157">
        <v>-130</v>
      </c>
      <c r="E17" s="157">
        <v>-20</v>
      </c>
      <c r="F17" s="157">
        <v>90</v>
      </c>
      <c r="G17" s="157">
        <v>200</v>
      </c>
      <c r="H17" s="157">
        <v>310</v>
      </c>
      <c r="I17" s="154">
        <f t="shared" si="0"/>
        <v>-240</v>
      </c>
      <c r="J17" s="163">
        <f t="shared" si="1"/>
        <v>310</v>
      </c>
    </row>
    <row r="18" spans="1:10" x14ac:dyDescent="0.25">
      <c r="A18" s="158"/>
      <c r="B18" s="166" t="s">
        <v>250</v>
      </c>
      <c r="C18" s="158">
        <f>MAX(C12:C17)</f>
        <v>60</v>
      </c>
      <c r="D18" s="158">
        <f t="shared" ref="D18:H18" si="2">MAX(D12:D17)</f>
        <v>110</v>
      </c>
      <c r="E18" s="158">
        <f t="shared" si="2"/>
        <v>160</v>
      </c>
      <c r="F18" s="158">
        <f t="shared" si="2"/>
        <v>210</v>
      </c>
      <c r="G18" s="158">
        <f t="shared" si="2"/>
        <v>260</v>
      </c>
      <c r="H18" s="158">
        <f t="shared" si="2"/>
        <v>310</v>
      </c>
      <c r="I18" s="172">
        <f t="shared" ref="I18" si="3">MAX(I12:I17)</f>
        <v>60</v>
      </c>
      <c r="J18" s="173">
        <f t="shared" ref="J18" si="4">MAX(J12:J17)</f>
        <v>310</v>
      </c>
    </row>
    <row r="20" spans="1:10" x14ac:dyDescent="0.25">
      <c r="B20" s="275" t="s">
        <v>334</v>
      </c>
      <c r="C20" s="275"/>
      <c r="D20" s="275"/>
      <c r="E20" s="275"/>
    </row>
    <row r="21" spans="1:10" ht="15.75" thickBot="1" x14ac:dyDescent="0.3">
      <c r="B21" s="175" t="s">
        <v>333</v>
      </c>
      <c r="C21" s="176" t="s">
        <v>330</v>
      </c>
      <c r="D21" s="171" t="s">
        <v>331</v>
      </c>
      <c r="E21" s="177" t="s">
        <v>332</v>
      </c>
    </row>
    <row r="22" spans="1:10" ht="15.75" thickTop="1" x14ac:dyDescent="0.25">
      <c r="B22" s="178">
        <v>10</v>
      </c>
      <c r="C22" s="150">
        <f t="shared" ref="C22:C27" si="5">MIN(C12:H12)</f>
        <v>60</v>
      </c>
      <c r="D22" s="152">
        <f t="shared" ref="D22:D27" si="6">MAX(C12:H12)</f>
        <v>60</v>
      </c>
      <c r="E22" s="174">
        <f>0.5*C22+(1-0.5)*D22</f>
        <v>60</v>
      </c>
    </row>
    <row r="23" spans="1:10" x14ac:dyDescent="0.25">
      <c r="B23" s="179">
        <v>11</v>
      </c>
      <c r="C23" s="154">
        <f t="shared" si="5"/>
        <v>0</v>
      </c>
      <c r="D23" s="156">
        <f t="shared" si="6"/>
        <v>110</v>
      </c>
      <c r="E23" s="154">
        <f t="shared" ref="E23:E27" si="7">0.5*C23+(1-0.5)*D23</f>
        <v>55</v>
      </c>
    </row>
    <row r="24" spans="1:10" x14ac:dyDescent="0.25">
      <c r="B24" s="179">
        <v>12</v>
      </c>
      <c r="C24" s="154">
        <f t="shared" si="5"/>
        <v>-60</v>
      </c>
      <c r="D24" s="156">
        <f t="shared" si="6"/>
        <v>160</v>
      </c>
      <c r="E24" s="154">
        <f t="shared" si="7"/>
        <v>50</v>
      </c>
    </row>
    <row r="25" spans="1:10" x14ac:dyDescent="0.25">
      <c r="B25" s="179">
        <v>13</v>
      </c>
      <c r="C25" s="154">
        <f t="shared" si="5"/>
        <v>-120</v>
      </c>
      <c r="D25" s="156">
        <f t="shared" si="6"/>
        <v>210</v>
      </c>
      <c r="E25" s="154">
        <f t="shared" si="7"/>
        <v>45</v>
      </c>
    </row>
    <row r="26" spans="1:10" x14ac:dyDescent="0.25">
      <c r="B26" s="179">
        <v>14</v>
      </c>
      <c r="C26" s="154">
        <f t="shared" si="5"/>
        <v>-180</v>
      </c>
      <c r="D26" s="156">
        <f t="shared" si="6"/>
        <v>260</v>
      </c>
      <c r="E26" s="154">
        <f t="shared" si="7"/>
        <v>40</v>
      </c>
    </row>
    <row r="27" spans="1:10" x14ac:dyDescent="0.25">
      <c r="B27" s="180">
        <v>15</v>
      </c>
      <c r="C27" s="154">
        <f t="shared" si="5"/>
        <v>-240</v>
      </c>
      <c r="D27" s="156">
        <f t="shared" si="6"/>
        <v>310</v>
      </c>
      <c r="E27" s="154">
        <f t="shared" si="7"/>
        <v>35</v>
      </c>
    </row>
    <row r="29" spans="1:10" x14ac:dyDescent="0.25">
      <c r="B29" s="275" t="s">
        <v>335</v>
      </c>
      <c r="C29" s="275"/>
      <c r="D29" s="275"/>
      <c r="E29" s="275"/>
      <c r="F29" s="275"/>
      <c r="G29" s="275"/>
      <c r="H29" s="275"/>
      <c r="I29" s="275"/>
      <c r="J29" s="120"/>
    </row>
    <row r="30" spans="1:10" x14ac:dyDescent="0.25">
      <c r="A30" s="121"/>
      <c r="B30" s="181"/>
      <c r="C30" s="274" t="s">
        <v>327</v>
      </c>
      <c r="D30" s="275"/>
      <c r="E30" s="275"/>
      <c r="F30" s="275"/>
      <c r="G30" s="275"/>
      <c r="H30" s="275"/>
      <c r="I30" s="275"/>
      <c r="J30" s="120"/>
    </row>
    <row r="31" spans="1:10" ht="15.75" thickBot="1" x14ac:dyDescent="0.3">
      <c r="A31" s="121"/>
      <c r="B31" s="182" t="s">
        <v>328</v>
      </c>
      <c r="C31" s="176">
        <v>10</v>
      </c>
      <c r="D31" s="170">
        <v>11</v>
      </c>
      <c r="E31" s="170">
        <v>12</v>
      </c>
      <c r="F31" s="170">
        <v>13</v>
      </c>
      <c r="G31" s="170">
        <v>14</v>
      </c>
      <c r="H31" s="183">
        <v>15</v>
      </c>
      <c r="I31" s="184" t="s">
        <v>250</v>
      </c>
      <c r="J31" s="44"/>
    </row>
    <row r="32" spans="1:10" ht="15.75" thickTop="1" x14ac:dyDescent="0.25">
      <c r="A32" s="281"/>
      <c r="B32" s="185">
        <v>10</v>
      </c>
      <c r="C32" s="150">
        <f>$C$18-C12</f>
        <v>0</v>
      </c>
      <c r="D32" s="151">
        <f>$D$18-D12</f>
        <v>50</v>
      </c>
      <c r="E32" s="151">
        <f>$E$18-E12</f>
        <v>100</v>
      </c>
      <c r="F32" s="151">
        <f>$F$18-F12</f>
        <v>150</v>
      </c>
      <c r="G32" s="151">
        <f>$G$18-G12</f>
        <v>200</v>
      </c>
      <c r="H32" s="152">
        <f>$H$18-H12</f>
        <v>250</v>
      </c>
      <c r="I32" s="151">
        <f>MAX(C32:H32)</f>
        <v>250</v>
      </c>
      <c r="J32" s="1"/>
    </row>
    <row r="33" spans="1:11" x14ac:dyDescent="0.25">
      <c r="A33" s="281"/>
      <c r="B33" s="186">
        <v>11</v>
      </c>
      <c r="C33" s="154">
        <f t="shared" ref="C33:C37" si="8">$C$18-C13</f>
        <v>60</v>
      </c>
      <c r="D33" s="155">
        <f t="shared" ref="D33:D37" si="9">$D$18-D13</f>
        <v>0</v>
      </c>
      <c r="E33" s="155">
        <f t="shared" ref="E33:E37" si="10">$E$18-E13</f>
        <v>50</v>
      </c>
      <c r="F33" s="155">
        <f t="shared" ref="F33:F37" si="11">$F$18-F13</f>
        <v>100</v>
      </c>
      <c r="G33" s="155">
        <f t="shared" ref="G33:G37" si="12">$G$18-G13</f>
        <v>150</v>
      </c>
      <c r="H33" s="156">
        <f t="shared" ref="H33:H37" si="13">$H$18-H13</f>
        <v>200</v>
      </c>
      <c r="I33" s="155">
        <f t="shared" ref="I33:I37" si="14">MAX(C33:H33)</f>
        <v>200</v>
      </c>
      <c r="J33" s="1"/>
    </row>
    <row r="34" spans="1:11" x14ac:dyDescent="0.25">
      <c r="A34" s="281"/>
      <c r="B34" s="186">
        <v>12</v>
      </c>
      <c r="C34" s="154">
        <f t="shared" si="8"/>
        <v>120</v>
      </c>
      <c r="D34" s="155">
        <f t="shared" si="9"/>
        <v>60</v>
      </c>
      <c r="E34" s="155">
        <f t="shared" si="10"/>
        <v>0</v>
      </c>
      <c r="F34" s="155">
        <f t="shared" si="11"/>
        <v>50</v>
      </c>
      <c r="G34" s="155">
        <f t="shared" si="12"/>
        <v>100</v>
      </c>
      <c r="H34" s="156">
        <f t="shared" si="13"/>
        <v>150</v>
      </c>
      <c r="I34" s="163">
        <f>MAX(C34:H34)</f>
        <v>150</v>
      </c>
      <c r="J34" s="1"/>
    </row>
    <row r="35" spans="1:11" x14ac:dyDescent="0.25">
      <c r="A35" s="281"/>
      <c r="B35" s="186">
        <v>13</v>
      </c>
      <c r="C35" s="154">
        <f t="shared" si="8"/>
        <v>180</v>
      </c>
      <c r="D35" s="155">
        <f t="shared" si="9"/>
        <v>120</v>
      </c>
      <c r="E35" s="155">
        <f t="shared" si="10"/>
        <v>60</v>
      </c>
      <c r="F35" s="155">
        <f t="shared" si="11"/>
        <v>0</v>
      </c>
      <c r="G35" s="155">
        <f t="shared" si="12"/>
        <v>50</v>
      </c>
      <c r="H35" s="156">
        <f t="shared" si="13"/>
        <v>100</v>
      </c>
      <c r="I35" s="155">
        <f t="shared" si="14"/>
        <v>180</v>
      </c>
      <c r="J35" s="1"/>
    </row>
    <row r="36" spans="1:11" x14ac:dyDescent="0.25">
      <c r="A36" s="281"/>
      <c r="B36" s="186">
        <v>14</v>
      </c>
      <c r="C36" s="154">
        <f t="shared" si="8"/>
        <v>240</v>
      </c>
      <c r="D36" s="155">
        <f t="shared" si="9"/>
        <v>180</v>
      </c>
      <c r="E36" s="155">
        <f t="shared" si="10"/>
        <v>120</v>
      </c>
      <c r="F36" s="155">
        <f t="shared" si="11"/>
        <v>60</v>
      </c>
      <c r="G36" s="155">
        <f t="shared" si="12"/>
        <v>0</v>
      </c>
      <c r="H36" s="156">
        <f t="shared" si="13"/>
        <v>50</v>
      </c>
      <c r="I36" s="155">
        <f t="shared" si="14"/>
        <v>240</v>
      </c>
      <c r="J36" s="1"/>
    </row>
    <row r="37" spans="1:11" x14ac:dyDescent="0.25">
      <c r="A37" s="281"/>
      <c r="B37" s="184">
        <v>15</v>
      </c>
      <c r="C37" s="154">
        <f t="shared" si="8"/>
        <v>300</v>
      </c>
      <c r="D37" s="155">
        <f t="shared" si="9"/>
        <v>240</v>
      </c>
      <c r="E37" s="155">
        <f t="shared" si="10"/>
        <v>180</v>
      </c>
      <c r="F37" s="155">
        <f t="shared" si="11"/>
        <v>120</v>
      </c>
      <c r="G37" s="155">
        <f t="shared" si="12"/>
        <v>60</v>
      </c>
      <c r="H37" s="156">
        <f t="shared" si="13"/>
        <v>0</v>
      </c>
      <c r="I37" s="187">
        <f t="shared" si="14"/>
        <v>300</v>
      </c>
      <c r="J37" s="44"/>
    </row>
    <row r="39" spans="1:11" x14ac:dyDescent="0.25">
      <c r="D39" s="1"/>
      <c r="E39" s="1"/>
    </row>
    <row r="40" spans="1:11" x14ac:dyDescent="0.25">
      <c r="B40" s="275" t="s">
        <v>338</v>
      </c>
      <c r="C40" s="275"/>
      <c r="D40" s="275"/>
      <c r="E40" s="275"/>
      <c r="F40" s="275"/>
      <c r="G40" s="275"/>
      <c r="H40" s="275"/>
      <c r="I40" s="275"/>
      <c r="J40" s="275"/>
      <c r="K40" s="120"/>
    </row>
    <row r="41" spans="1:11" x14ac:dyDescent="0.25">
      <c r="B41" s="268" t="s">
        <v>325</v>
      </c>
      <c r="C41" s="269"/>
      <c r="D41" s="274" t="s">
        <v>327</v>
      </c>
      <c r="E41" s="275"/>
      <c r="F41" s="275"/>
      <c r="G41" s="275"/>
      <c r="H41" s="275"/>
      <c r="I41" s="275"/>
      <c r="J41" s="275"/>
      <c r="K41" s="120"/>
    </row>
    <row r="42" spans="1:11" x14ac:dyDescent="0.25">
      <c r="B42" s="270"/>
      <c r="C42" s="271"/>
      <c r="D42" s="188">
        <v>10</v>
      </c>
      <c r="E42" s="170">
        <v>11</v>
      </c>
      <c r="F42" s="170">
        <v>12</v>
      </c>
      <c r="G42" s="170">
        <v>13</v>
      </c>
      <c r="H42" s="170">
        <v>14</v>
      </c>
      <c r="I42" s="171">
        <v>15</v>
      </c>
      <c r="J42" s="279" t="s">
        <v>337</v>
      </c>
      <c r="K42" s="44"/>
    </row>
    <row r="43" spans="1:11" ht="15.75" thickBot="1" x14ac:dyDescent="0.3">
      <c r="B43" s="272" t="s">
        <v>336</v>
      </c>
      <c r="C43" s="273"/>
      <c r="D43" s="189">
        <f>1/6</f>
        <v>0.16666666666666666</v>
      </c>
      <c r="E43" s="190">
        <f t="shared" ref="E43:I43" si="15">1/6</f>
        <v>0.16666666666666666</v>
      </c>
      <c r="F43" s="190">
        <f t="shared" si="15"/>
        <v>0.16666666666666666</v>
      </c>
      <c r="G43" s="190">
        <f t="shared" si="15"/>
        <v>0.16666666666666666</v>
      </c>
      <c r="H43" s="190">
        <f t="shared" si="15"/>
        <v>0.16666666666666666</v>
      </c>
      <c r="I43" s="190">
        <f t="shared" si="15"/>
        <v>0.16666666666666666</v>
      </c>
      <c r="J43" s="280"/>
      <c r="K43" s="44"/>
    </row>
    <row r="44" spans="1:11" ht="15.75" thickTop="1" x14ac:dyDescent="0.25">
      <c r="B44" s="265" t="s">
        <v>328</v>
      </c>
      <c r="C44" s="167">
        <v>10</v>
      </c>
      <c r="D44" s="150">
        <v>60</v>
      </c>
      <c r="E44" s="151">
        <v>60</v>
      </c>
      <c r="F44" s="151">
        <v>60</v>
      </c>
      <c r="G44" s="151">
        <v>60</v>
      </c>
      <c r="H44" s="151">
        <v>60</v>
      </c>
      <c r="I44" s="152">
        <v>60</v>
      </c>
      <c r="J44" s="153">
        <f>D44*$D$43+E44*$E$43+F44*$F$43+G44*$G$43+H44*$H$43+I44*$I$43</f>
        <v>60</v>
      </c>
      <c r="K44" s="1"/>
    </row>
    <row r="45" spans="1:11" x14ac:dyDescent="0.25">
      <c r="B45" s="266"/>
      <c r="C45" s="168">
        <v>11</v>
      </c>
      <c r="D45" s="154">
        <v>0</v>
      </c>
      <c r="E45" s="155">
        <v>110</v>
      </c>
      <c r="F45" s="155">
        <v>110</v>
      </c>
      <c r="G45" s="155">
        <v>110</v>
      </c>
      <c r="H45" s="155">
        <v>110</v>
      </c>
      <c r="I45" s="156">
        <v>110</v>
      </c>
      <c r="J45" s="153">
        <f t="shared" ref="J45:J49" si="16">D45*$D$43+E45*$E$43+F45*$F$43+G45*$G$43+H45*$H$43+I45*$I$43</f>
        <v>91.666666666666657</v>
      </c>
      <c r="K45" s="1"/>
    </row>
    <row r="46" spans="1:11" x14ac:dyDescent="0.25">
      <c r="B46" s="266"/>
      <c r="C46" s="168">
        <v>12</v>
      </c>
      <c r="D46" s="154">
        <v>-60</v>
      </c>
      <c r="E46" s="155">
        <v>50</v>
      </c>
      <c r="F46" s="155">
        <v>160</v>
      </c>
      <c r="G46" s="155">
        <v>160</v>
      </c>
      <c r="H46" s="155">
        <v>160</v>
      </c>
      <c r="I46" s="156">
        <v>160</v>
      </c>
      <c r="J46" s="191">
        <f t="shared" si="16"/>
        <v>104.99999999999997</v>
      </c>
      <c r="K46" s="1"/>
    </row>
    <row r="47" spans="1:11" x14ac:dyDescent="0.25">
      <c r="B47" s="266"/>
      <c r="C47" s="168">
        <v>13</v>
      </c>
      <c r="D47" s="154">
        <v>-120</v>
      </c>
      <c r="E47" s="155">
        <v>-10</v>
      </c>
      <c r="F47" s="155">
        <v>100</v>
      </c>
      <c r="G47" s="155">
        <v>210</v>
      </c>
      <c r="H47" s="155">
        <v>210</v>
      </c>
      <c r="I47" s="156">
        <v>210</v>
      </c>
      <c r="J47" s="153">
        <f t="shared" si="16"/>
        <v>100</v>
      </c>
      <c r="K47" s="1"/>
    </row>
    <row r="48" spans="1:11" x14ac:dyDescent="0.25">
      <c r="B48" s="266"/>
      <c r="C48" s="168">
        <v>14</v>
      </c>
      <c r="D48" s="154">
        <v>-180</v>
      </c>
      <c r="E48" s="155">
        <v>-70</v>
      </c>
      <c r="F48" s="155">
        <v>40</v>
      </c>
      <c r="G48" s="155">
        <v>150</v>
      </c>
      <c r="H48" s="155">
        <v>260</v>
      </c>
      <c r="I48" s="156">
        <v>260</v>
      </c>
      <c r="J48" s="153">
        <f t="shared" si="16"/>
        <v>76.666666666666657</v>
      </c>
      <c r="K48" s="1"/>
    </row>
    <row r="49" spans="2:11" x14ac:dyDescent="0.25">
      <c r="B49" s="267"/>
      <c r="C49" s="183">
        <v>15</v>
      </c>
      <c r="D49" s="154">
        <v>-240</v>
      </c>
      <c r="E49" s="155">
        <v>-130</v>
      </c>
      <c r="F49" s="155">
        <v>-20</v>
      </c>
      <c r="G49" s="155">
        <v>90</v>
      </c>
      <c r="H49" s="155">
        <v>200</v>
      </c>
      <c r="I49" s="156">
        <v>310</v>
      </c>
      <c r="J49" s="153">
        <f t="shared" si="16"/>
        <v>34.999999999999993</v>
      </c>
      <c r="K49" s="44"/>
    </row>
    <row r="50" spans="2:11" x14ac:dyDescent="0.25">
      <c r="B50" s="1"/>
      <c r="C50" s="1"/>
      <c r="D50" s="1"/>
      <c r="E50" s="1"/>
      <c r="F50" s="1"/>
      <c r="G50" s="1"/>
      <c r="H50" s="1"/>
      <c r="I50" s="1"/>
      <c r="J50" s="1"/>
      <c r="K50" s="1"/>
    </row>
    <row r="52" spans="2:11" x14ac:dyDescent="0.25">
      <c r="B52" s="275" t="s">
        <v>340</v>
      </c>
      <c r="C52" s="275"/>
      <c r="D52" s="275"/>
      <c r="E52" s="275"/>
      <c r="F52" s="275"/>
      <c r="G52" s="275"/>
      <c r="H52" s="275"/>
      <c r="I52" s="275"/>
      <c r="J52" s="275"/>
    </row>
    <row r="53" spans="2:11" x14ac:dyDescent="0.25">
      <c r="B53" s="268" t="s">
        <v>325</v>
      </c>
      <c r="C53" s="269"/>
      <c r="D53" s="274" t="s">
        <v>327</v>
      </c>
      <c r="E53" s="275"/>
      <c r="F53" s="275"/>
      <c r="G53" s="275"/>
      <c r="H53" s="275"/>
      <c r="I53" s="275"/>
      <c r="J53" s="275"/>
    </row>
    <row r="54" spans="2:11" x14ac:dyDescent="0.25">
      <c r="B54" s="268"/>
      <c r="C54" s="276"/>
      <c r="D54" s="188">
        <v>10</v>
      </c>
      <c r="E54" s="170">
        <v>11</v>
      </c>
      <c r="F54" s="170">
        <v>12</v>
      </c>
      <c r="G54" s="170">
        <v>13</v>
      </c>
      <c r="H54" s="170">
        <v>14</v>
      </c>
      <c r="I54" s="171">
        <v>15</v>
      </c>
      <c r="J54" s="277" t="s">
        <v>341</v>
      </c>
    </row>
    <row r="55" spans="2:11" ht="15.75" thickBot="1" x14ac:dyDescent="0.3">
      <c r="B55" s="272" t="s">
        <v>339</v>
      </c>
      <c r="C55" s="273"/>
      <c r="D55" s="189">
        <v>0.1</v>
      </c>
      <c r="E55" s="190">
        <v>0.05</v>
      </c>
      <c r="F55" s="190">
        <v>0.05</v>
      </c>
      <c r="G55" s="190">
        <v>0.3</v>
      </c>
      <c r="H55" s="190">
        <v>0.25</v>
      </c>
      <c r="I55" s="190">
        <v>0.25</v>
      </c>
      <c r="J55" s="278"/>
    </row>
    <row r="56" spans="2:11" ht="15.75" thickTop="1" x14ac:dyDescent="0.25">
      <c r="B56" s="265" t="s">
        <v>328</v>
      </c>
      <c r="C56" s="167">
        <v>10</v>
      </c>
      <c r="D56" s="150">
        <v>60</v>
      </c>
      <c r="E56" s="151">
        <v>60</v>
      </c>
      <c r="F56" s="151">
        <v>60</v>
      </c>
      <c r="G56" s="151">
        <v>60</v>
      </c>
      <c r="H56" s="151">
        <v>60</v>
      </c>
      <c r="I56" s="152">
        <v>60</v>
      </c>
      <c r="J56" s="153">
        <f>D56*$D$55+E56*$E$55+F56*$F$55+G56*$G$55+H56*$H$55+I56*$I$55</f>
        <v>60</v>
      </c>
    </row>
    <row r="57" spans="2:11" x14ac:dyDescent="0.25">
      <c r="B57" s="266"/>
      <c r="C57" s="168">
        <v>11</v>
      </c>
      <c r="D57" s="154">
        <v>0</v>
      </c>
      <c r="E57" s="155">
        <v>110</v>
      </c>
      <c r="F57" s="155">
        <v>110</v>
      </c>
      <c r="G57" s="155">
        <v>110</v>
      </c>
      <c r="H57" s="155">
        <v>110</v>
      </c>
      <c r="I57" s="156">
        <v>110</v>
      </c>
      <c r="J57" s="153">
        <f t="shared" ref="J57:J61" si="17">D57*$D$55+E57*$E$55+F57*$F$55+G57*$G$55+H57*$H$55+I57*$I$55</f>
        <v>99</v>
      </c>
    </row>
    <row r="58" spans="2:11" x14ac:dyDescent="0.25">
      <c r="B58" s="266"/>
      <c r="C58" s="168">
        <v>12</v>
      </c>
      <c r="D58" s="154">
        <v>-60</v>
      </c>
      <c r="E58" s="155">
        <v>50</v>
      </c>
      <c r="F58" s="155">
        <v>160</v>
      </c>
      <c r="G58" s="155">
        <v>160</v>
      </c>
      <c r="H58" s="155">
        <v>160</v>
      </c>
      <c r="I58" s="156">
        <v>160</v>
      </c>
      <c r="J58" s="153">
        <f t="shared" si="17"/>
        <v>132.5</v>
      </c>
    </row>
    <row r="59" spans="2:11" x14ac:dyDescent="0.25">
      <c r="B59" s="266"/>
      <c r="C59" s="168">
        <v>13</v>
      </c>
      <c r="D59" s="154">
        <v>-120</v>
      </c>
      <c r="E59" s="155">
        <v>-10</v>
      </c>
      <c r="F59" s="155">
        <v>100</v>
      </c>
      <c r="G59" s="155">
        <v>210</v>
      </c>
      <c r="H59" s="155">
        <v>210</v>
      </c>
      <c r="I59" s="156">
        <v>210</v>
      </c>
      <c r="J59" s="191">
        <f t="shared" si="17"/>
        <v>160.5</v>
      </c>
    </row>
    <row r="60" spans="2:11" x14ac:dyDescent="0.25">
      <c r="B60" s="266"/>
      <c r="C60" s="168">
        <v>14</v>
      </c>
      <c r="D60" s="154">
        <v>-180</v>
      </c>
      <c r="E60" s="155">
        <v>-70</v>
      </c>
      <c r="F60" s="155">
        <v>40</v>
      </c>
      <c r="G60" s="155">
        <v>150</v>
      </c>
      <c r="H60" s="155">
        <v>260</v>
      </c>
      <c r="I60" s="156">
        <v>260</v>
      </c>
      <c r="J60" s="153">
        <f t="shared" si="17"/>
        <v>155.5</v>
      </c>
    </row>
    <row r="61" spans="2:11" x14ac:dyDescent="0.25">
      <c r="B61" s="267"/>
      <c r="C61" s="183">
        <v>15</v>
      </c>
      <c r="D61" s="154">
        <v>-240</v>
      </c>
      <c r="E61" s="155">
        <v>-130</v>
      </c>
      <c r="F61" s="155">
        <v>-20</v>
      </c>
      <c r="G61" s="155">
        <v>90</v>
      </c>
      <c r="H61" s="155">
        <v>200</v>
      </c>
      <c r="I61" s="156">
        <v>310</v>
      </c>
      <c r="J61" s="153">
        <f t="shared" si="17"/>
        <v>123</v>
      </c>
    </row>
  </sheetData>
  <mergeCells count="21">
    <mergeCell ref="A9:J9"/>
    <mergeCell ref="C10:J10"/>
    <mergeCell ref="A1:I4"/>
    <mergeCell ref="A10:B11"/>
    <mergeCell ref="A12:A17"/>
    <mergeCell ref="B40:J40"/>
    <mergeCell ref="J42:J43"/>
    <mergeCell ref="A32:A37"/>
    <mergeCell ref="C30:I30"/>
    <mergeCell ref="B20:E20"/>
    <mergeCell ref="B29:I29"/>
    <mergeCell ref="B56:B61"/>
    <mergeCell ref="B41:C42"/>
    <mergeCell ref="B44:B49"/>
    <mergeCell ref="B43:C43"/>
    <mergeCell ref="D41:J41"/>
    <mergeCell ref="B52:J52"/>
    <mergeCell ref="B53:C54"/>
    <mergeCell ref="D53:J53"/>
    <mergeCell ref="J54:J55"/>
    <mergeCell ref="B55:C5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tabSelected="1" topLeftCell="A5" workbookViewId="0">
      <selection activeCell="J20" sqref="J20"/>
    </sheetView>
  </sheetViews>
  <sheetFormatPr defaultRowHeight="15" x14ac:dyDescent="0.25"/>
  <cols>
    <col min="1" max="1" width="12.85546875" bestFit="1" customWidth="1"/>
    <col min="2" max="2" width="10.140625" bestFit="1" customWidth="1"/>
    <col min="3" max="3" width="15.85546875" bestFit="1" customWidth="1"/>
    <col min="4" max="4" width="12.28515625" customWidth="1"/>
    <col min="5" max="6" width="10.140625" bestFit="1" customWidth="1"/>
    <col min="8" max="8" width="11.7109375" customWidth="1"/>
  </cols>
  <sheetData>
    <row r="1" spans="1:16" x14ac:dyDescent="0.25">
      <c r="A1" s="287" t="s">
        <v>358</v>
      </c>
      <c r="B1" s="287"/>
      <c r="C1" s="287"/>
    </row>
    <row r="2" spans="1:16" x14ac:dyDescent="0.25">
      <c r="A2" s="202" t="s">
        <v>345</v>
      </c>
      <c r="B2" s="202" t="s">
        <v>346</v>
      </c>
      <c r="C2" s="202" t="s">
        <v>347</v>
      </c>
    </row>
    <row r="3" spans="1:16" x14ac:dyDescent="0.25">
      <c r="A3" s="202">
        <v>2014</v>
      </c>
      <c r="B3" s="202">
        <v>0</v>
      </c>
      <c r="C3" s="202">
        <v>112</v>
      </c>
    </row>
    <row r="4" spans="1:16" x14ac:dyDescent="0.25">
      <c r="A4" s="202">
        <v>2015</v>
      </c>
      <c r="B4" s="202">
        <v>1</v>
      </c>
      <c r="C4" s="202">
        <v>126</v>
      </c>
    </row>
    <row r="5" spans="1:16" x14ac:dyDescent="0.25">
      <c r="A5" s="202">
        <v>2016</v>
      </c>
      <c r="B5" s="202">
        <v>2</v>
      </c>
      <c r="C5" s="202">
        <v>154</v>
      </c>
    </row>
    <row r="6" spans="1:16" x14ac:dyDescent="0.25">
      <c r="A6" s="202">
        <v>2017</v>
      </c>
      <c r="B6" s="202">
        <v>3</v>
      </c>
      <c r="C6" s="202">
        <v>194</v>
      </c>
    </row>
    <row r="7" spans="1:16" x14ac:dyDescent="0.25">
      <c r="A7" s="202">
        <v>2018</v>
      </c>
      <c r="B7" s="202">
        <v>4</v>
      </c>
      <c r="C7" s="202">
        <v>167</v>
      </c>
    </row>
    <row r="9" spans="1:16" x14ac:dyDescent="0.25">
      <c r="H9" t="s">
        <v>348</v>
      </c>
    </row>
    <row r="10" spans="1:16" x14ac:dyDescent="0.25">
      <c r="H10" t="s">
        <v>349</v>
      </c>
    </row>
    <row r="11" spans="1:16" x14ac:dyDescent="0.25">
      <c r="H11" t="s">
        <v>350</v>
      </c>
    </row>
    <row r="12" spans="1:16" x14ac:dyDescent="0.25">
      <c r="H12" t="s">
        <v>351</v>
      </c>
    </row>
    <row r="14" spans="1:16" x14ac:dyDescent="0.25">
      <c r="H14" s="202" t="s">
        <v>352</v>
      </c>
    </row>
    <row r="16" spans="1:16" x14ac:dyDescent="0.25">
      <c r="H16" t="s">
        <v>353</v>
      </c>
      <c r="I16" s="288" t="s">
        <v>354</v>
      </c>
      <c r="J16" s="288"/>
      <c r="K16" s="288"/>
      <c r="L16" s="288"/>
      <c r="M16" s="288"/>
      <c r="N16" s="288"/>
      <c r="O16" s="288"/>
      <c r="P16" s="288"/>
    </row>
    <row r="18" spans="1:16" x14ac:dyDescent="0.25">
      <c r="H18" t="s">
        <v>355</v>
      </c>
      <c r="I18" s="288" t="s">
        <v>356</v>
      </c>
      <c r="J18" s="288"/>
      <c r="K18" s="288"/>
      <c r="L18" s="288"/>
      <c r="M18" s="288"/>
      <c r="N18" s="288"/>
      <c r="O18" s="288"/>
      <c r="P18" s="288"/>
    </row>
    <row r="20" spans="1:16" x14ac:dyDescent="0.25">
      <c r="H20" t="s">
        <v>357</v>
      </c>
    </row>
    <row r="21" spans="1:16" x14ac:dyDescent="0.25">
      <c r="H21" s="205">
        <f>17.8/AVERAGE(C3:C7)</f>
        <v>0.11819389110225764</v>
      </c>
    </row>
    <row r="22" spans="1:16" x14ac:dyDescent="0.25">
      <c r="I22" s="288" t="s">
        <v>370</v>
      </c>
      <c r="J22" s="288"/>
      <c r="K22" s="288"/>
      <c r="L22" s="288"/>
      <c r="M22" s="288"/>
      <c r="N22" s="288"/>
      <c r="O22" s="288"/>
      <c r="P22" s="288"/>
    </row>
    <row r="25" spans="1:16" x14ac:dyDescent="0.25">
      <c r="A25" s="287" t="s">
        <v>359</v>
      </c>
      <c r="B25" s="287"/>
      <c r="C25" s="287"/>
    </row>
    <row r="26" spans="1:16" x14ac:dyDescent="0.25">
      <c r="A26" s="202" t="s">
        <v>345</v>
      </c>
      <c r="B26" s="202" t="s">
        <v>346</v>
      </c>
      <c r="C26" s="202" t="s">
        <v>347</v>
      </c>
    </row>
    <row r="27" spans="1:16" x14ac:dyDescent="0.25">
      <c r="A27" s="202">
        <v>2014</v>
      </c>
      <c r="B27" s="202">
        <v>0</v>
      </c>
      <c r="C27" s="202">
        <v>112</v>
      </c>
    </row>
    <row r="28" spans="1:16" x14ac:dyDescent="0.25">
      <c r="A28" s="202">
        <v>2015</v>
      </c>
      <c r="B28" s="202">
        <v>1</v>
      </c>
      <c r="C28" s="202">
        <v>126</v>
      </c>
    </row>
    <row r="29" spans="1:16" x14ac:dyDescent="0.25">
      <c r="A29" s="202">
        <v>2016</v>
      </c>
      <c r="B29" s="202">
        <v>2</v>
      </c>
      <c r="C29" s="202">
        <v>154</v>
      </c>
    </row>
    <row r="30" spans="1:16" x14ac:dyDescent="0.25">
      <c r="A30" s="202">
        <v>2017</v>
      </c>
      <c r="B30" s="202">
        <v>3</v>
      </c>
      <c r="C30" s="202">
        <v>194</v>
      </c>
    </row>
    <row r="31" spans="1:16" x14ac:dyDescent="0.25">
      <c r="A31" s="202">
        <v>2018</v>
      </c>
      <c r="B31" s="202">
        <v>4</v>
      </c>
      <c r="C31" s="202">
        <v>167</v>
      </c>
    </row>
    <row r="34" spans="8:17" x14ac:dyDescent="0.25">
      <c r="H34" t="s">
        <v>360</v>
      </c>
      <c r="I34" t="s">
        <v>361</v>
      </c>
      <c r="J34" t="s">
        <v>362</v>
      </c>
    </row>
    <row r="36" spans="8:17" x14ac:dyDescent="0.25">
      <c r="H36" s="53" t="s">
        <v>363</v>
      </c>
      <c r="I36" s="206">
        <f>EXP(0.123)</f>
        <v>1.1308844209474893</v>
      </c>
    </row>
    <row r="37" spans="8:17" x14ac:dyDescent="0.25">
      <c r="H37" s="288" t="s">
        <v>364</v>
      </c>
      <c r="I37" s="288"/>
    </row>
    <row r="39" spans="8:17" x14ac:dyDescent="0.25">
      <c r="H39" t="s">
        <v>365</v>
      </c>
    </row>
    <row r="40" spans="8:17" x14ac:dyDescent="0.25">
      <c r="H40" t="s">
        <v>366</v>
      </c>
    </row>
    <row r="41" spans="8:17" x14ac:dyDescent="0.25">
      <c r="H41" t="s">
        <v>367</v>
      </c>
    </row>
    <row r="43" spans="8:17" x14ac:dyDescent="0.25">
      <c r="H43" t="s">
        <v>368</v>
      </c>
      <c r="I43" s="288" t="s">
        <v>354</v>
      </c>
      <c r="J43" s="288"/>
      <c r="K43" s="288"/>
      <c r="L43" s="288"/>
      <c r="M43" s="288"/>
      <c r="N43" s="288"/>
      <c r="O43" s="288"/>
      <c r="P43" s="288"/>
      <c r="Q43" s="112"/>
    </row>
    <row r="45" spans="8:17" ht="15" customHeight="1" x14ac:dyDescent="0.25">
      <c r="H45" t="s">
        <v>369</v>
      </c>
      <c r="I45" s="289" t="s">
        <v>372</v>
      </c>
      <c r="J45" s="289"/>
      <c r="K45" s="289"/>
      <c r="L45" s="289"/>
      <c r="M45" s="289"/>
      <c r="N45" s="289"/>
      <c r="O45" s="289"/>
      <c r="P45" s="289"/>
      <c r="Q45" s="289"/>
    </row>
    <row r="46" spans="8:17" x14ac:dyDescent="0.25">
      <c r="I46" s="289"/>
      <c r="J46" s="289"/>
      <c r="K46" s="289"/>
      <c r="L46" s="289"/>
      <c r="M46" s="289"/>
      <c r="N46" s="289"/>
      <c r="O46" s="289"/>
      <c r="P46" s="289"/>
      <c r="Q46" s="289"/>
    </row>
    <row r="47" spans="8:17" x14ac:dyDescent="0.25">
      <c r="H47" t="s">
        <v>371</v>
      </c>
      <c r="I47">
        <f>(1.1309-1)*100</f>
        <v>13.090000000000002</v>
      </c>
    </row>
  </sheetData>
  <mergeCells count="8">
    <mergeCell ref="A1:C1"/>
    <mergeCell ref="A25:C25"/>
    <mergeCell ref="H37:I37"/>
    <mergeCell ref="I43:P43"/>
    <mergeCell ref="I45:Q46"/>
    <mergeCell ref="I16:P16"/>
    <mergeCell ref="I18:P18"/>
    <mergeCell ref="I22:P22"/>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
  <sheetViews>
    <sheetView workbookViewId="0">
      <selection activeCell="I10" sqref="I10"/>
    </sheetView>
  </sheetViews>
  <sheetFormatPr defaultRowHeight="15" x14ac:dyDescent="0.25"/>
  <cols>
    <col min="1" max="1" width="12.85546875" bestFit="1" customWidth="1"/>
  </cols>
  <sheetData>
    <row r="2" spans="1:6" x14ac:dyDescent="0.25">
      <c r="A2" s="290" t="s">
        <v>343</v>
      </c>
      <c r="B2" s="290"/>
      <c r="C2" s="290"/>
      <c r="D2" s="290"/>
      <c r="E2" s="290"/>
      <c r="F2" s="202"/>
    </row>
    <row r="3" spans="1:6" x14ac:dyDescent="0.25">
      <c r="A3" s="202" t="s">
        <v>11</v>
      </c>
      <c r="B3" s="204">
        <v>2014</v>
      </c>
      <c r="C3" s="204">
        <v>2015</v>
      </c>
      <c r="D3" s="204">
        <v>2016</v>
      </c>
      <c r="E3" s="204">
        <v>2017</v>
      </c>
      <c r="F3" s="204">
        <v>2018</v>
      </c>
    </row>
    <row r="4" spans="1:6" x14ac:dyDescent="0.25">
      <c r="A4" s="202" t="s">
        <v>344</v>
      </c>
      <c r="B4" s="203">
        <v>112</v>
      </c>
      <c r="C4" s="203">
        <v>126</v>
      </c>
      <c r="D4" s="203">
        <v>154</v>
      </c>
      <c r="E4" s="203">
        <v>194</v>
      </c>
      <c r="F4" s="203">
        <v>167</v>
      </c>
    </row>
  </sheetData>
  <mergeCells count="1">
    <mergeCell ref="A2:E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Ulaganje,prihodi,rashodi</vt:lpstr>
      <vt:lpstr>RDG,ET,</vt:lpstr>
      <vt:lpstr>Otpl.kredita</vt:lpstr>
      <vt:lpstr>TOBS</vt:lpstr>
      <vt:lpstr>Histogram</vt:lpstr>
      <vt:lpstr>Sensit</vt:lpstr>
      <vt:lpstr>SensIt Tornado 3</vt:lpstr>
      <vt:lpstr>SensIt Spider 3</vt:lpstr>
      <vt:lpstr>Prioriteti i rangiranje</vt:lpstr>
      <vt:lpstr>Nesigurnosti</vt:lpstr>
      <vt:lpstr>Linearni trend</vt:lpstr>
      <vt:lpstr>Eksponencijalni trend</vt:lpstr>
      <vt:lpstr>'SensIt Spider 3'!Print_Area</vt:lpstr>
      <vt:lpstr>'SensIt Tornado 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Antonija</dc:creator>
  <cp:lastModifiedBy>Antonija</cp:lastModifiedBy>
  <dcterms:created xsi:type="dcterms:W3CDTF">2017-01-17T09:41:58Z</dcterms:created>
  <dcterms:modified xsi:type="dcterms:W3CDTF">2017-03-16T17:08:46Z</dcterms:modified>
</cp:coreProperties>
</file>