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ja\Desktop\"/>
    </mc:Choice>
  </mc:AlternateContent>
  <bookViews>
    <workbookView xWindow="0" yWindow="0" windowWidth="20490" windowHeight="8910" activeTab="1"/>
  </bookViews>
  <sheets>
    <sheet name="Ostali troškovi" sheetId="1" r:id="rId1"/>
    <sheet name="Tijekovi,predpostavke,troškovi" sheetId="2" r:id="rId2"/>
    <sheet name="TOBS" sheetId="3" r:id="rId3"/>
    <sheet name="Otpl-anuiteta Q" sheetId="4" r:id="rId4"/>
    <sheet name="Pokazatelji" sheetId="5" r:id="rId5"/>
  </sheets>
  <definedNames>
    <definedName name="_Toc322854855" localSheetId="1">'Tijekovi,predpostavke,troškovi'!$I$81</definedName>
    <definedName name="_Toc322854856" localSheetId="1">'Tijekovi,predpostavke,troškovi'!$I$111</definedName>
  </definedNames>
  <calcPr calcId="162913"/>
</workbook>
</file>

<file path=xl/calcChain.xml><?xml version="1.0" encoding="utf-8"?>
<calcChain xmlns="http://schemas.openxmlformats.org/spreadsheetml/2006/main">
  <c r="C78" i="2" l="1"/>
  <c r="C67" i="2"/>
  <c r="E34" i="2"/>
  <c r="D38" i="2"/>
  <c r="H46" i="2"/>
  <c r="E27" i="2"/>
  <c r="I26" i="2"/>
  <c r="J82" i="2"/>
  <c r="K82" i="2"/>
  <c r="H45" i="2"/>
  <c r="H53" i="2"/>
  <c r="H59" i="2"/>
  <c r="E59" i="2"/>
  <c r="E53" i="2" s="1"/>
  <c r="Q12" i="2"/>
  <c r="Q9" i="2"/>
  <c r="Q8" i="2"/>
  <c r="L8" i="2"/>
  <c r="J13" i="2"/>
  <c r="I108" i="2" l="1"/>
  <c r="I107" i="2"/>
  <c r="I106" i="2"/>
  <c r="I105" i="2"/>
  <c r="I104" i="2"/>
  <c r="I103" i="2"/>
  <c r="F108" i="2"/>
  <c r="F107" i="2"/>
  <c r="F106" i="2"/>
  <c r="F105" i="2"/>
  <c r="F104" i="2"/>
  <c r="F103" i="2"/>
  <c r="J83" i="2" l="1"/>
  <c r="J84" i="2"/>
  <c r="J85" i="2"/>
  <c r="J86" i="2"/>
  <c r="J87" i="2"/>
  <c r="F34" i="2" l="1"/>
  <c r="J15" i="2"/>
  <c r="J11" i="2"/>
  <c r="Q10" i="2"/>
  <c r="D9" i="2"/>
  <c r="C9" i="2"/>
  <c r="E8" i="2"/>
  <c r="F8" i="2" s="1"/>
  <c r="E7" i="2"/>
  <c r="F7" i="2" s="1"/>
  <c r="E6" i="2"/>
  <c r="F6" i="2" s="1"/>
  <c r="E5" i="2"/>
  <c r="F5" i="2" s="1"/>
  <c r="E4" i="2"/>
  <c r="F4" i="2" s="1"/>
  <c r="E3" i="2"/>
  <c r="E9" i="2" l="1"/>
  <c r="F3" i="2"/>
  <c r="F9" i="2" s="1"/>
  <c r="C66" i="2" l="1"/>
  <c r="D45" i="2"/>
  <c r="E26" i="2"/>
  <c r="F27" i="2"/>
  <c r="G27" i="2" s="1"/>
  <c r="H27" i="2" s="1"/>
  <c r="I27" i="2" s="1"/>
  <c r="G19" i="5"/>
  <c r="B7" i="1"/>
  <c r="G17" i="5" s="1"/>
  <c r="G21" i="5" s="1"/>
  <c r="G5" i="5"/>
  <c r="G9" i="5" s="1"/>
  <c r="G13" i="5" s="1"/>
  <c r="C47" i="2"/>
  <c r="C45" i="2" s="1"/>
  <c r="E56" i="2"/>
  <c r="D56" i="2"/>
  <c r="D32" i="2"/>
  <c r="D31" i="2" s="1"/>
  <c r="D37" i="2" s="1"/>
  <c r="G34" i="2"/>
  <c r="F56" i="2" s="1"/>
  <c r="H34" i="2"/>
  <c r="G56" i="2" s="1"/>
  <c r="I34" i="2"/>
  <c r="H56" i="2" s="1"/>
  <c r="Q14" i="2"/>
  <c r="C3" i="1"/>
  <c r="C5" i="1"/>
  <c r="C4" i="1"/>
  <c r="C2" i="1"/>
  <c r="C16" i="3"/>
  <c r="D15" i="3" s="1"/>
  <c r="C7" i="4"/>
  <c r="C18" i="4" s="1"/>
  <c r="G82" i="2" l="1"/>
  <c r="F82" i="2"/>
  <c r="C54" i="2"/>
  <c r="C53" i="2" s="1"/>
  <c r="F26" i="2"/>
  <c r="J20" i="5"/>
  <c r="D66" i="2"/>
  <c r="E66" i="2" s="1"/>
  <c r="F66" i="2" s="1"/>
  <c r="G66" i="2" s="1"/>
  <c r="E45" i="2"/>
  <c r="D46" i="2"/>
  <c r="C19" i="4"/>
  <c r="I19" i="4"/>
  <c r="C8" i="4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G15" i="5"/>
  <c r="J16" i="5" s="1"/>
  <c r="G103" i="2" l="1"/>
  <c r="J103" i="2"/>
  <c r="C60" i="2"/>
  <c r="G26" i="2"/>
  <c r="F45" i="2"/>
  <c r="E46" i="2"/>
  <c r="I30" i="4"/>
  <c r="D19" i="4"/>
  <c r="C90" i="2"/>
  <c r="C87" i="2" s="1"/>
  <c r="G67" i="2"/>
  <c r="G72" i="2" s="1"/>
  <c r="F67" i="2"/>
  <c r="F72" i="2" s="1"/>
  <c r="E67" i="2"/>
  <c r="E72" i="2" s="1"/>
  <c r="D67" i="2"/>
  <c r="D72" i="2" s="1"/>
  <c r="M9" i="2"/>
  <c r="P9" i="2"/>
  <c r="O9" i="2"/>
  <c r="N9" i="2"/>
  <c r="L9" i="2"/>
  <c r="P8" i="2"/>
  <c r="P11" i="2" s="1"/>
  <c r="G74" i="2" s="1"/>
  <c r="O8" i="2"/>
  <c r="N8" i="2"/>
  <c r="N11" i="2" s="1"/>
  <c r="E74" i="2" s="1"/>
  <c r="M8" i="2"/>
  <c r="H26" i="2" l="1"/>
  <c r="O11" i="2"/>
  <c r="F74" i="2" s="1"/>
  <c r="L11" i="2"/>
  <c r="F46" i="2"/>
  <c r="G45" i="2"/>
  <c r="G46" i="2" s="1"/>
  <c r="I31" i="4"/>
  <c r="E19" i="4"/>
  <c r="C20" i="4" s="1"/>
  <c r="M11" i="2"/>
  <c r="D74" i="2" s="1"/>
  <c r="H51" i="2" l="1"/>
  <c r="H50" i="2" s="1"/>
  <c r="O12" i="2"/>
  <c r="N12" i="2"/>
  <c r="L12" i="2"/>
  <c r="P12" i="2"/>
  <c r="M12" i="2"/>
  <c r="C83" i="2"/>
  <c r="C74" i="2"/>
  <c r="D20" i="4"/>
  <c r="Q13" i="2" l="1"/>
  <c r="I28" i="2" s="1"/>
  <c r="I30" i="2" s="1"/>
  <c r="E20" i="4"/>
  <c r="C21" i="4" s="1"/>
  <c r="Q15" i="2" l="1"/>
  <c r="D21" i="4"/>
  <c r="E21" i="4" l="1"/>
  <c r="C22" i="4" s="1"/>
  <c r="I20" i="4" s="1"/>
  <c r="J30" i="4" l="1"/>
  <c r="D22" i="4"/>
  <c r="J20" i="4" s="1"/>
  <c r="C75" i="2" l="1"/>
  <c r="E22" i="4"/>
  <c r="C23" i="4" s="1"/>
  <c r="J29" i="4"/>
  <c r="J31" i="4" s="1"/>
  <c r="D59" i="2" s="1"/>
  <c r="D23" i="4" l="1"/>
  <c r="E23" i="4" l="1"/>
  <c r="C24" i="4" s="1"/>
  <c r="B30" i="1"/>
  <c r="E18" i="2"/>
  <c r="F18" i="2" s="1"/>
  <c r="E13" i="2"/>
  <c r="F13" i="2" s="1"/>
  <c r="E14" i="2"/>
  <c r="E15" i="2"/>
  <c r="F15" i="2" s="1"/>
  <c r="E16" i="2"/>
  <c r="F16" i="2" s="1"/>
  <c r="E17" i="2"/>
  <c r="F17" i="2" s="1"/>
  <c r="E19" i="2"/>
  <c r="F19" i="2" s="1"/>
  <c r="E20" i="2"/>
  <c r="F20" i="2" s="1"/>
  <c r="D21" i="2"/>
  <c r="C21" i="2"/>
  <c r="B19" i="1"/>
  <c r="C86" i="2" s="1"/>
  <c r="C14" i="1"/>
  <c r="C13" i="1"/>
  <c r="C12" i="1"/>
  <c r="C11" i="1"/>
  <c r="D6" i="1"/>
  <c r="D5" i="1"/>
  <c r="D4" i="1"/>
  <c r="D3" i="1"/>
  <c r="D2" i="1"/>
  <c r="B15" i="1"/>
  <c r="C7" i="1"/>
  <c r="D24" i="4" l="1"/>
  <c r="C15" i="1"/>
  <c r="E21" i="2"/>
  <c r="F14" i="2"/>
  <c r="F21" i="2" s="1"/>
  <c r="C12" i="3" s="1"/>
  <c r="D11" i="3" s="1"/>
  <c r="D7" i="1"/>
  <c r="C8" i="3" l="1"/>
  <c r="D7" i="3" s="1"/>
  <c r="C5" i="3" s="1"/>
  <c r="G7" i="5"/>
  <c r="J8" i="5" s="1"/>
  <c r="C84" i="2"/>
  <c r="H35" i="2"/>
  <c r="F35" i="2"/>
  <c r="E35" i="2"/>
  <c r="I35" i="2"/>
  <c r="G35" i="2"/>
  <c r="C71" i="2"/>
  <c r="C72" i="2" s="1"/>
  <c r="C76" i="2" s="1"/>
  <c r="E24" i="4"/>
  <c r="C25" i="4" s="1"/>
  <c r="E57" i="2" l="1"/>
  <c r="H57" i="2"/>
  <c r="C77" i="2"/>
  <c r="F57" i="2"/>
  <c r="D57" i="2"/>
  <c r="G57" i="2"/>
  <c r="D25" i="4"/>
  <c r="E36" i="2" l="1"/>
  <c r="E31" i="2" s="1"/>
  <c r="E37" i="2" s="1"/>
  <c r="G3" i="5"/>
  <c r="E25" i="4"/>
  <c r="C26" i="4" s="1"/>
  <c r="I21" i="4" s="1"/>
  <c r="E38" i="2" l="1"/>
  <c r="G83" i="2" s="1"/>
  <c r="K30" i="4"/>
  <c r="F83" i="2"/>
  <c r="J4" i="5"/>
  <c r="G11" i="5"/>
  <c r="J12" i="5" s="1"/>
  <c r="D58" i="2"/>
  <c r="D53" i="2" s="1"/>
  <c r="D60" i="2" s="1"/>
  <c r="D26" i="4"/>
  <c r="J21" i="4" s="1"/>
  <c r="K83" i="2" l="1"/>
  <c r="G104" i="2"/>
  <c r="J104" i="2"/>
  <c r="D75" i="2"/>
  <c r="D76" i="2" s="1"/>
  <c r="F92" i="2"/>
  <c r="D61" i="2"/>
  <c r="E26" i="4"/>
  <c r="C27" i="4" s="1"/>
  <c r="K29" i="4"/>
  <c r="D77" i="2" l="1"/>
  <c r="F36" i="2" s="1"/>
  <c r="F31" i="2" s="1"/>
  <c r="F37" i="2" s="1"/>
  <c r="G92" i="2"/>
  <c r="D27" i="4"/>
  <c r="K31" i="4"/>
  <c r="D78" i="2" l="1"/>
  <c r="E58" i="2"/>
  <c r="E60" i="2" s="1"/>
  <c r="F93" i="2" s="1"/>
  <c r="E27" i="4"/>
  <c r="C28" i="4" s="1"/>
  <c r="E61" i="2" l="1"/>
  <c r="G93" i="2" s="1"/>
  <c r="F84" i="2"/>
  <c r="F38" i="2"/>
  <c r="G84" i="2" s="1"/>
  <c r="D28" i="4"/>
  <c r="K84" i="2" l="1"/>
  <c r="J105" i="2"/>
  <c r="G105" i="2"/>
  <c r="E28" i="4"/>
  <c r="C29" i="4" s="1"/>
  <c r="D29" i="4" l="1"/>
  <c r="E29" i="4" l="1"/>
  <c r="C30" i="4" s="1"/>
  <c r="I22" i="4" s="1"/>
  <c r="L30" i="4" l="1"/>
  <c r="D30" i="4"/>
  <c r="J22" i="4" s="1"/>
  <c r="E75" i="2" l="1"/>
  <c r="E76" i="2" s="1"/>
  <c r="E30" i="4"/>
  <c r="C31" i="4" s="1"/>
  <c r="E77" i="2" l="1"/>
  <c r="G36" i="2" s="1"/>
  <c r="G31" i="2" s="1"/>
  <c r="G37" i="2" s="1"/>
  <c r="D31" i="4"/>
  <c r="L29" i="4"/>
  <c r="F58" i="2" l="1"/>
  <c r="E78" i="2"/>
  <c r="L31" i="4"/>
  <c r="F59" i="2" s="1"/>
  <c r="F53" i="2" s="1"/>
  <c r="F60" i="2" s="1"/>
  <c r="E31" i="4"/>
  <c r="C32" i="4" s="1"/>
  <c r="F85" i="2" l="1"/>
  <c r="G38" i="2"/>
  <c r="G85" i="2" s="1"/>
  <c r="F94" i="2"/>
  <c r="F61" i="2"/>
  <c r="G94" i="2" s="1"/>
  <c r="D32" i="4"/>
  <c r="K85" i="2" l="1"/>
  <c r="J106" i="2"/>
  <c r="G106" i="2"/>
  <c r="E32" i="4"/>
  <c r="C33" i="4" s="1"/>
  <c r="D33" i="4" l="1"/>
  <c r="E33" i="4" l="1"/>
  <c r="C34" i="4" s="1"/>
  <c r="I23" i="4" s="1"/>
  <c r="M30" i="4" l="1"/>
  <c r="D34" i="4"/>
  <c r="J23" i="4" s="1"/>
  <c r="F75" i="2" l="1"/>
  <c r="F76" i="2" s="1"/>
  <c r="E34" i="4"/>
  <c r="C35" i="4" s="1"/>
  <c r="F77" i="2" l="1"/>
  <c r="H36" i="2" s="1"/>
  <c r="H31" i="2" s="1"/>
  <c r="H37" i="2" s="1"/>
  <c r="D35" i="4"/>
  <c r="M29" i="4"/>
  <c r="G58" i="2" l="1"/>
  <c r="F78" i="2"/>
  <c r="E35" i="4"/>
  <c r="C36" i="4" s="1"/>
  <c r="M31" i="4"/>
  <c r="G59" i="2" s="1"/>
  <c r="G53" i="2" l="1"/>
  <c r="G60" i="2" s="1"/>
  <c r="F95" i="2" s="1"/>
  <c r="F86" i="2"/>
  <c r="H38" i="2"/>
  <c r="D36" i="4"/>
  <c r="K86" i="2" l="1"/>
  <c r="G107" i="2"/>
  <c r="J107" i="2"/>
  <c r="G61" i="2"/>
  <c r="G95" i="2" s="1"/>
  <c r="G86" i="2"/>
  <c r="E36" i="4"/>
  <c r="C37" i="4" s="1"/>
  <c r="D37" i="4" l="1"/>
  <c r="E37" i="4" l="1"/>
  <c r="C38" i="4" s="1"/>
  <c r="I24" i="4" s="1"/>
  <c r="N30" i="4" l="1"/>
  <c r="I25" i="4"/>
  <c r="D38" i="4"/>
  <c r="J24" i="4" s="1"/>
  <c r="G75" i="2" l="1"/>
  <c r="G76" i="2" s="1"/>
  <c r="O30" i="4"/>
  <c r="C85" i="2" s="1"/>
  <c r="C82" i="2" s="1"/>
  <c r="C91" i="2" s="1"/>
  <c r="E38" i="4"/>
  <c r="G77" i="2" l="1"/>
  <c r="I36" i="2" s="1"/>
  <c r="I31" i="2" s="1"/>
  <c r="I37" i="2" s="1"/>
  <c r="N29" i="4"/>
  <c r="J25" i="4"/>
  <c r="J90" i="2" l="1"/>
  <c r="I93" i="2" s="1"/>
  <c r="J93" i="2" s="1"/>
  <c r="K93" i="2" s="1"/>
  <c r="G78" i="2"/>
  <c r="H58" i="2"/>
  <c r="N31" i="4"/>
  <c r="O29" i="4"/>
  <c r="O31" i="4" s="1"/>
  <c r="J97" i="2" l="1"/>
  <c r="K97" i="2" s="1"/>
  <c r="J96" i="2"/>
  <c r="K96" i="2" s="1"/>
  <c r="J95" i="2"/>
  <c r="K95" i="2" s="1"/>
  <c r="J98" i="2"/>
  <c r="J94" i="2"/>
  <c r="K94" i="2" s="1"/>
  <c r="F87" i="2"/>
  <c r="I38" i="2"/>
  <c r="G87" i="2" s="1"/>
  <c r="F96" i="2" l="1"/>
  <c r="H60" i="2"/>
  <c r="H61" i="2" s="1"/>
  <c r="G96" i="2" s="1"/>
  <c r="K87" i="2"/>
  <c r="K88" i="2" s="1"/>
  <c r="G108" i="2"/>
  <c r="G109" i="2" s="1"/>
  <c r="J108" i="2"/>
  <c r="J109" i="2" s="1"/>
  <c r="K98" i="2"/>
  <c r="K99" i="2" s="1"/>
</calcChain>
</file>

<file path=xl/sharedStrings.xml><?xml version="1.0" encoding="utf-8"?>
<sst xmlns="http://schemas.openxmlformats.org/spreadsheetml/2006/main" count="307" uniqueCount="209">
  <si>
    <t>Column1</t>
  </si>
  <si>
    <t>Column2</t>
  </si>
  <si>
    <t>Column3</t>
  </si>
  <si>
    <t>Column4</t>
  </si>
  <si>
    <t>Proizvodna aktivnost</t>
  </si>
  <si>
    <t>Mjesečno</t>
  </si>
  <si>
    <t>Godišnje</t>
  </si>
  <si>
    <t>Vozač</t>
  </si>
  <si>
    <t>Poljoprivrednici(rad na zemlji)</t>
  </si>
  <si>
    <t>Prodavači</t>
  </si>
  <si>
    <t>UKUPNO</t>
  </si>
  <si>
    <t>Broj zaposlenih</t>
  </si>
  <si>
    <t>Troškovi komunalija</t>
  </si>
  <si>
    <t>Struja</t>
  </si>
  <si>
    <t>Voda</t>
  </si>
  <si>
    <t>Gorivo</t>
  </si>
  <si>
    <t>Internet + telefonske usluga</t>
  </si>
  <si>
    <t>Godišnje u kn</t>
  </si>
  <si>
    <t>Mjesečno u kn</t>
  </si>
  <si>
    <t>Čišćenje i održavanje</t>
  </si>
  <si>
    <t>Troškovi</t>
  </si>
  <si>
    <t>Imovina:</t>
  </si>
  <si>
    <t>Troškovi:</t>
  </si>
  <si>
    <t>Traktor</t>
  </si>
  <si>
    <t>Plug</t>
  </si>
  <si>
    <t>Tanjurače</t>
  </si>
  <si>
    <t>Freza</t>
  </si>
  <si>
    <t>Polagač folije</t>
  </si>
  <si>
    <t>Destilerija</t>
  </si>
  <si>
    <t>Ukupno:</t>
  </si>
  <si>
    <t>Column5</t>
  </si>
  <si>
    <t>Izlazne količine proizvoda za prodaju:</t>
  </si>
  <si>
    <t>Sapun od lavande:</t>
  </si>
  <si>
    <t>Mirisne vrećice mala 0,02 kg</t>
  </si>
  <si>
    <t>Mirisne vrećice srednja 0,04 kg</t>
  </si>
  <si>
    <t>Mirisne vrećice velike 0,06 kg</t>
  </si>
  <si>
    <t>UKUPNO:</t>
  </si>
  <si>
    <t>Količine</t>
  </si>
  <si>
    <t>Prodajna cijena</t>
  </si>
  <si>
    <t>Dnevni prihod</t>
  </si>
  <si>
    <t>Godišnji prihod</t>
  </si>
  <si>
    <t>Ulazne količine sirovine:</t>
  </si>
  <si>
    <t>Nabavna cijena:</t>
  </si>
  <si>
    <t>Dnevni trošak  materijala</t>
  </si>
  <si>
    <t>Godišnji trošak</t>
  </si>
  <si>
    <t>Vrećice za pakiranje</t>
  </si>
  <si>
    <t>Glicerinska masa</t>
  </si>
  <si>
    <t>Prirodne boje</t>
  </si>
  <si>
    <t>Troškovi reklamiranja</t>
  </si>
  <si>
    <t>Celofan za sapune</t>
  </si>
  <si>
    <t>Bočice za eterična ulja</t>
  </si>
  <si>
    <t>Naljepnice s printom</t>
  </si>
  <si>
    <t>Količine(kom):</t>
  </si>
  <si>
    <t>Kutije</t>
  </si>
  <si>
    <t>Column6</t>
  </si>
  <si>
    <t>Column7</t>
  </si>
  <si>
    <t>Column8</t>
  </si>
  <si>
    <t>Column9</t>
  </si>
  <si>
    <t>Column10</t>
  </si>
  <si>
    <t>OPIS:</t>
  </si>
  <si>
    <t>GODINE:</t>
  </si>
  <si>
    <t>I. PRIMICI</t>
  </si>
  <si>
    <t>Ukupni prihod</t>
  </si>
  <si>
    <t>OVP</t>
  </si>
  <si>
    <t>Osnovna sredstva</t>
  </si>
  <si>
    <t>Obrtna sredstva</t>
  </si>
  <si>
    <t>Ukupno OVP</t>
  </si>
  <si>
    <t>Angažirana osnovna sredstva</t>
  </si>
  <si>
    <t>Angažirana TOBS</t>
  </si>
  <si>
    <t>Troškovi materijala i usluga</t>
  </si>
  <si>
    <t>Izdaci za osoblje</t>
  </si>
  <si>
    <t>Porezi</t>
  </si>
  <si>
    <t>III. NETO PRIMICI</t>
  </si>
  <si>
    <t>IV.KUMULATIV</t>
  </si>
  <si>
    <t>Ekonomski tijek:</t>
  </si>
  <si>
    <t>1. Ukupni prihodi</t>
  </si>
  <si>
    <t xml:space="preserve">               2.1. Vlastito ulaganje</t>
  </si>
  <si>
    <t>2.2. Kredit</t>
  </si>
  <si>
    <t>3. Ostatak vrijednosti</t>
  </si>
  <si>
    <t>3.2. Obrtnih sredstava</t>
  </si>
  <si>
    <t>II. IZDACI</t>
  </si>
  <si>
    <t>4. Investicije u OS</t>
  </si>
  <si>
    <t>5. Investicije u TOBS</t>
  </si>
  <si>
    <t>6. Troškovi materijala i usluga</t>
  </si>
  <si>
    <t>7. Izdaci za osoblje</t>
  </si>
  <si>
    <t>8. Porezi</t>
  </si>
  <si>
    <t>9. Otplata (Glavnica + Kamate)</t>
  </si>
  <si>
    <t>IV. KUMULATIV</t>
  </si>
  <si>
    <t>Godina:</t>
  </si>
  <si>
    <t>Ukupni prihodi:</t>
  </si>
  <si>
    <t>Ukupni rashodi:</t>
  </si>
  <si>
    <t>Sirovine:</t>
  </si>
  <si>
    <t>Komunalije:</t>
  </si>
  <si>
    <t>Održavanje:</t>
  </si>
  <si>
    <t>Troškovi osoblja:</t>
  </si>
  <si>
    <t>EBITDA</t>
  </si>
  <si>
    <t>Amortizacija:</t>
  </si>
  <si>
    <t>Kamate:</t>
  </si>
  <si>
    <t>Dobit prije poreza:</t>
  </si>
  <si>
    <t>Neto dobit:</t>
  </si>
  <si>
    <t>2013.</t>
  </si>
  <si>
    <t>100% Troškova plaća</t>
  </si>
  <si>
    <t>Kamate</t>
  </si>
  <si>
    <t>30% Troškovi održavanja</t>
  </si>
  <si>
    <t>Sirovine</t>
  </si>
  <si>
    <t>Komunalije</t>
  </si>
  <si>
    <t>70% Troškovi održavanja</t>
  </si>
  <si>
    <t>3. Ukupni troškovi:</t>
  </si>
  <si>
    <t>2. Varijabilni troškovi:</t>
  </si>
  <si>
    <t>God. Vijeka uporabe</t>
  </si>
  <si>
    <t>Neto primici ek.tijeka</t>
  </si>
  <si>
    <t>Kumulativ ek. Tijeka</t>
  </si>
  <si>
    <t>Povrat uloženih sredstava ekonomskog tijeka:</t>
  </si>
  <si>
    <t>Povrat uloženih sredstava financijskog tijeka:</t>
  </si>
  <si>
    <t>TRAJNA OBRTNA SREDSTVA</t>
  </si>
  <si>
    <t>Izračun potrebnih obrtnih sredstava</t>
  </si>
  <si>
    <t>Ukupna prodaja</t>
  </si>
  <si>
    <t>Dani naplate</t>
  </si>
  <si>
    <t>Troškovi zaliha</t>
  </si>
  <si>
    <t>Dani vezivanja zaliha</t>
  </si>
  <si>
    <t>Ukupni troškovi(od dobavljača)</t>
  </si>
  <si>
    <t>Dani plaćanja</t>
  </si>
  <si>
    <t>Iznos kredita</t>
  </si>
  <si>
    <t>Vrijeme otplate</t>
  </si>
  <si>
    <t>Br. Obroka</t>
  </si>
  <si>
    <t>r</t>
  </si>
  <si>
    <t>anuitet</t>
  </si>
  <si>
    <t>Anuitet</t>
  </si>
  <si>
    <t>Otplatna kvota</t>
  </si>
  <si>
    <t>Ostatak duga</t>
  </si>
  <si>
    <t>2014.</t>
  </si>
  <si>
    <t xml:space="preserve"> Godina</t>
  </si>
  <si>
    <t>Godišnja kamata</t>
  </si>
  <si>
    <t>Godišnja otplata</t>
  </si>
  <si>
    <t>Godina</t>
  </si>
  <si>
    <t>god. Cca</t>
  </si>
  <si>
    <t>otplatna kvota</t>
  </si>
  <si>
    <t>kamata</t>
  </si>
  <si>
    <t>Iznos kredita2</t>
  </si>
  <si>
    <t>br. Obroka</t>
  </si>
  <si>
    <t>350000</t>
  </si>
  <si>
    <t>Redni broj</t>
  </si>
  <si>
    <t>NAZIV</t>
  </si>
  <si>
    <t>Nabavna vrij. Invest</t>
  </si>
  <si>
    <t>Stopa otpisa</t>
  </si>
  <si>
    <t>A.</t>
  </si>
  <si>
    <t>B</t>
  </si>
  <si>
    <t>C</t>
  </si>
  <si>
    <t>INVESTICIJA</t>
  </si>
  <si>
    <t>Zemljište</t>
  </si>
  <si>
    <t>Građevinski objekti</t>
  </si>
  <si>
    <t>Oprema</t>
  </si>
  <si>
    <t>SVEUKUPNO</t>
  </si>
  <si>
    <t>OST.VIJED.PROJEKTA</t>
  </si>
  <si>
    <t>TOBS</t>
  </si>
  <si>
    <t>1.Fiksni troškovi</t>
  </si>
  <si>
    <t>Račun dobiti i gubitka:</t>
  </si>
  <si>
    <t>Tablica ukupnih prihoda:</t>
  </si>
  <si>
    <t>Tablica ukupnih troškova:</t>
  </si>
  <si>
    <r>
      <rPr>
        <b/>
        <i/>
        <sz val="14"/>
        <color rgb="FF7030A0"/>
        <rFont val="Calibri"/>
        <family val="2"/>
        <charset val="238"/>
        <scheme val="minor"/>
      </rPr>
      <t>Financijski tijek novca</t>
    </r>
    <r>
      <rPr>
        <sz val="11"/>
        <color theme="1"/>
        <rFont val="Calibri"/>
        <family val="2"/>
        <charset val="238"/>
        <scheme val="minor"/>
      </rPr>
      <t>:</t>
    </r>
  </si>
  <si>
    <t>Rentabilnost ukupno uloženih sredstava</t>
  </si>
  <si>
    <t>=</t>
  </si>
  <si>
    <t>Neto dobit</t>
  </si>
  <si>
    <t>Visina investicije</t>
  </si>
  <si>
    <t>Obrtaj ukupno uloženih sredstava</t>
  </si>
  <si>
    <t>Reprodukcijska sposobnost</t>
  </si>
  <si>
    <t>Neto dobit + amort.</t>
  </si>
  <si>
    <t>Investicijsko opterećenje po zaposlenom</t>
  </si>
  <si>
    <t>Visina investicija</t>
  </si>
  <si>
    <t>Investicije u osnovna sredstva po zaposlenom</t>
  </si>
  <si>
    <t>Visina inv. u os. sred.</t>
  </si>
  <si>
    <t>1.</t>
  </si>
  <si>
    <t>2.</t>
  </si>
  <si>
    <t>3.</t>
  </si>
  <si>
    <t>4.</t>
  </si>
  <si>
    <t>5.</t>
  </si>
  <si>
    <t>Kamate(%)</t>
  </si>
  <si>
    <t>Prostor za skladištenje i ured</t>
  </si>
  <si>
    <t>Potrebna TOBS u 2014.godini</t>
  </si>
  <si>
    <t xml:space="preserve">Godine rada                                                 </t>
  </si>
  <si>
    <t xml:space="preserve"> </t>
  </si>
  <si>
    <t>Godina vijeka uporabe</t>
  </si>
  <si>
    <t>Neto primici fin.tijeka</t>
  </si>
  <si>
    <t>Kumulativ fin. Tijeka</t>
  </si>
  <si>
    <t>2015.</t>
  </si>
  <si>
    <t>2016.</t>
  </si>
  <si>
    <t>2017.</t>
  </si>
  <si>
    <t>2018.</t>
  </si>
  <si>
    <t>Prerađivači</t>
  </si>
  <si>
    <t>Knjigovodstveni servis</t>
  </si>
  <si>
    <t>Sadnice</t>
  </si>
  <si>
    <t>20013.</t>
  </si>
  <si>
    <t>Porez (20%)</t>
  </si>
  <si>
    <t>3.1. Osnovnih vrijednosti</t>
  </si>
  <si>
    <t>2. Izvori financiranja</t>
  </si>
  <si>
    <t>Procjena vrijednosti potraživanja:</t>
  </si>
  <si>
    <t>Procjena vrijednosti zaliha:</t>
  </si>
  <si>
    <t>Procjena vrijednosti obveza prema dobavljačima</t>
  </si>
  <si>
    <t>Eterično ulje lavande (10ml):</t>
  </si>
  <si>
    <t>Poklon kutija lavande ( 2 mirisne vrećice-male i sapun)</t>
  </si>
  <si>
    <t>Amortizacija</t>
  </si>
  <si>
    <t>Diskontna stopa</t>
  </si>
  <si>
    <t>Diskontni faktor</t>
  </si>
  <si>
    <t>Sadašnja vrijednost</t>
  </si>
  <si>
    <t>NSV</t>
  </si>
  <si>
    <t>IRR=</t>
  </si>
  <si>
    <t>Diskontna stopa2</t>
  </si>
  <si>
    <t>Diskontni faktor2</t>
  </si>
  <si>
    <t>Sadašnja vrijednost2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</si>
</sst>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000"/>
    <numFmt numFmtId="166" formatCode="0.0000%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4"/>
      <color rgb="FF7030A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  <font>
      <b/>
      <i/>
      <sz val="12"/>
      <color rgb="FF7030A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0" fontId="8" fillId="0" borderId="0"/>
  </cellStyleXfs>
  <cellXfs count="80"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0" borderId="0" xfId="0" applyNumberForma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3" borderId="3" xfId="0" applyFont="1" applyFill="1" applyBorder="1" applyAlignment="1">
      <alignment horizontal="left"/>
    </xf>
    <xf numFmtId="0" fontId="0" fillId="4" borderId="3" xfId="0" applyFont="1" applyFill="1" applyBorder="1" applyAlignment="1">
      <alignment horizontal="left"/>
    </xf>
    <xf numFmtId="10" fontId="0" fillId="4" borderId="3" xfId="0" applyNumberFormat="1" applyFont="1" applyFill="1" applyBorder="1"/>
    <xf numFmtId="10" fontId="0" fillId="3" borderId="3" xfId="0" applyNumberFormat="1" applyFont="1" applyFill="1" applyBorder="1"/>
    <xf numFmtId="0" fontId="0" fillId="4" borderId="5" xfId="0" applyFont="1" applyFill="1" applyBorder="1" applyAlignment="1">
      <alignment horizontal="left"/>
    </xf>
    <xf numFmtId="0" fontId="0" fillId="4" borderId="5" xfId="0" applyFont="1" applyFill="1" applyBorder="1"/>
    <xf numFmtId="0" fontId="4" fillId="0" borderId="0" xfId="0" applyFont="1"/>
    <xf numFmtId="0" fontId="2" fillId="0" borderId="0" xfId="0" applyFont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3" fontId="0" fillId="0" borderId="0" xfId="0" applyNumberFormat="1" applyBorder="1"/>
    <xf numFmtId="3" fontId="0" fillId="0" borderId="0" xfId="0" applyNumberFormat="1"/>
    <xf numFmtId="4" fontId="0" fillId="0" borderId="0" xfId="0" applyNumberFormat="1" applyAlignment="1">
      <alignment vertical="center"/>
    </xf>
    <xf numFmtId="0" fontId="0" fillId="3" borderId="3" xfId="0" applyFill="1" applyBorder="1"/>
    <xf numFmtId="0" fontId="0" fillId="4" borderId="3" xfId="0" applyFill="1" applyBorder="1"/>
    <xf numFmtId="0" fontId="0" fillId="4" borderId="4" xfId="0" applyFill="1" applyBorder="1"/>
    <xf numFmtId="164" fontId="0" fillId="0" borderId="0" xfId="0" applyNumberFormat="1"/>
    <xf numFmtId="3" fontId="0" fillId="4" borderId="3" xfId="0" applyNumberFormat="1" applyFont="1" applyFill="1" applyBorder="1"/>
    <xf numFmtId="3" fontId="0" fillId="3" borderId="3" xfId="0" applyNumberFormat="1" applyFont="1" applyFill="1" applyBorder="1"/>
    <xf numFmtId="3" fontId="0" fillId="4" borderId="5" xfId="0" applyNumberFormat="1" applyFont="1" applyFill="1" applyBorder="1"/>
    <xf numFmtId="3" fontId="0" fillId="3" borderId="4" xfId="0" applyNumberFormat="1" applyFont="1" applyFill="1" applyBorder="1"/>
    <xf numFmtId="3" fontId="0" fillId="4" borderId="4" xfId="0" applyNumberFormat="1" applyFont="1" applyFill="1" applyBorder="1"/>
    <xf numFmtId="3" fontId="0" fillId="4" borderId="0" xfId="0" applyNumberFormat="1" applyFont="1" applyFill="1"/>
    <xf numFmtId="164" fontId="0" fillId="0" borderId="0" xfId="0" applyNumberFormat="1" applyBorder="1"/>
    <xf numFmtId="0" fontId="6" fillId="5" borderId="0" xfId="0" applyFont="1" applyFill="1" applyAlignment="1">
      <alignment horizontal="center"/>
    </xf>
    <xf numFmtId="3" fontId="6" fillId="5" borderId="0" xfId="0" applyNumberFormat="1" applyFont="1" applyFill="1"/>
    <xf numFmtId="0" fontId="6" fillId="5" borderId="0" xfId="0" applyFont="1" applyFill="1"/>
    <xf numFmtId="164" fontId="6" fillId="5" borderId="0" xfId="0" applyNumberFormat="1" applyFont="1" applyFill="1"/>
    <xf numFmtId="3" fontId="6" fillId="5" borderId="0" xfId="0" applyNumberFormat="1" applyFont="1" applyFill="1" applyBorder="1"/>
    <xf numFmtId="0" fontId="7" fillId="0" borderId="0" xfId="0" applyFont="1" applyFill="1" applyAlignment="1">
      <alignment horizontal="center"/>
    </xf>
    <xf numFmtId="3" fontId="7" fillId="0" borderId="0" xfId="0" applyNumberFormat="1" applyFont="1" applyFill="1"/>
    <xf numFmtId="0" fontId="7" fillId="0" borderId="0" xfId="0" applyFont="1" applyFill="1"/>
    <xf numFmtId="0" fontId="6" fillId="5" borderId="0" xfId="0" applyFont="1" applyFill="1" applyBorder="1" applyAlignment="1">
      <alignment horizontal="left"/>
    </xf>
    <xf numFmtId="0" fontId="6" fillId="5" borderId="0" xfId="0" applyFont="1" applyFill="1" applyBorder="1"/>
    <xf numFmtId="164" fontId="6" fillId="5" borderId="0" xfId="0" applyNumberFormat="1" applyFont="1" applyFill="1" applyBorder="1"/>
    <xf numFmtId="0" fontId="9" fillId="0" borderId="0" xfId="1" applyFont="1" applyFill="1" applyBorder="1" applyAlignment="1">
      <alignment horizontal="center" vertical="center" wrapText="1"/>
    </xf>
    <xf numFmtId="10" fontId="9" fillId="0" borderId="0" xfId="1" applyNumberFormat="1" applyFont="1" applyFill="1" applyBorder="1" applyAlignment="1">
      <alignment horizontal="center"/>
    </xf>
    <xf numFmtId="165" fontId="9" fillId="0" borderId="0" xfId="1" applyNumberFormat="1" applyFont="1" applyFill="1" applyBorder="1"/>
    <xf numFmtId="4" fontId="9" fillId="0" borderId="0" xfId="0" applyNumberFormat="1" applyFont="1" applyFill="1" applyBorder="1"/>
    <xf numFmtId="0" fontId="9" fillId="0" borderId="0" xfId="1" applyFont="1" applyFill="1" applyBorder="1" applyAlignment="1">
      <alignment horizontal="center" wrapText="1"/>
    </xf>
    <xf numFmtId="4" fontId="9" fillId="0" borderId="0" xfId="1" applyNumberFormat="1" applyFont="1" applyFill="1" applyBorder="1"/>
    <xf numFmtId="0" fontId="9" fillId="0" borderId="0" xfId="1" applyFont="1" applyFill="1" applyBorder="1"/>
    <xf numFmtId="3" fontId="9" fillId="0" borderId="0" xfId="1" applyNumberFormat="1" applyFont="1" applyFill="1" applyBorder="1"/>
    <xf numFmtId="0" fontId="0" fillId="0" borderId="0" xfId="0" applyBorder="1" applyAlignment="1">
      <alignment horizontal="right"/>
    </xf>
    <xf numFmtId="166" fontId="0" fillId="0" borderId="0" xfId="0" applyNumberFormat="1" applyBorder="1"/>
    <xf numFmtId="166" fontId="9" fillId="0" borderId="0" xfId="1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9" fontId="9" fillId="0" borderId="0" xfId="1" applyNumberFormat="1" applyFont="1" applyFill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3" xfId="1"/>
  </cellStyles>
  <dxfs count="4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#,##0.00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#,##0.00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textRotation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#,##0.00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#,##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164" formatCode="#,##0.0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476250</xdr:colOff>
          <xdr:row>92</xdr:row>
          <xdr:rowOff>66675</xdr:rowOff>
        </xdr:from>
        <xdr:to>
          <xdr:col>4</xdr:col>
          <xdr:colOff>1104900</xdr:colOff>
          <xdr:row>96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485775</xdr:colOff>
          <xdr:row>96</xdr:row>
          <xdr:rowOff>133350</xdr:rowOff>
        </xdr:from>
        <xdr:to>
          <xdr:col>3</xdr:col>
          <xdr:colOff>885825</xdr:colOff>
          <xdr:row>99</xdr:row>
          <xdr:rowOff>123825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</xdr:row>
      <xdr:rowOff>57150</xdr:rowOff>
    </xdr:from>
    <xdr:to>
      <xdr:col>4</xdr:col>
      <xdr:colOff>542925</xdr:colOff>
      <xdr:row>3</xdr:row>
      <xdr:rowOff>57150</xdr:rowOff>
    </xdr:to>
    <xdr:cxnSp macro="">
      <xdr:nvCxnSpPr>
        <xdr:cNvPr id="3" name="Straight Connector 2"/>
        <xdr:cNvCxnSpPr/>
      </xdr:nvCxnSpPr>
      <xdr:spPr>
        <a:xfrm>
          <a:off x="1704975" y="752475"/>
          <a:ext cx="1114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3</xdr:row>
      <xdr:rowOff>66675</xdr:rowOff>
    </xdr:from>
    <xdr:to>
      <xdr:col>7</xdr:col>
      <xdr:colOff>533400</xdr:colOff>
      <xdr:row>3</xdr:row>
      <xdr:rowOff>66675</xdr:rowOff>
    </xdr:to>
    <xdr:cxnSp macro="">
      <xdr:nvCxnSpPr>
        <xdr:cNvPr id="5" name="Straight Connector 4"/>
        <xdr:cNvCxnSpPr/>
      </xdr:nvCxnSpPr>
      <xdr:spPr>
        <a:xfrm>
          <a:off x="3105150" y="762000"/>
          <a:ext cx="10763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7</xdr:row>
      <xdr:rowOff>57150</xdr:rowOff>
    </xdr:from>
    <xdr:to>
      <xdr:col>4</xdr:col>
      <xdr:colOff>581025</xdr:colOff>
      <xdr:row>7</xdr:row>
      <xdr:rowOff>57150</xdr:rowOff>
    </xdr:to>
    <xdr:cxnSp macro="">
      <xdr:nvCxnSpPr>
        <xdr:cNvPr id="7" name="Straight Connector 6"/>
        <xdr:cNvCxnSpPr/>
      </xdr:nvCxnSpPr>
      <xdr:spPr>
        <a:xfrm>
          <a:off x="1695450" y="1733550"/>
          <a:ext cx="1162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7</xdr:row>
      <xdr:rowOff>57150</xdr:rowOff>
    </xdr:from>
    <xdr:to>
      <xdr:col>7</xdr:col>
      <xdr:colOff>552450</xdr:colOff>
      <xdr:row>7</xdr:row>
      <xdr:rowOff>57150</xdr:rowOff>
    </xdr:to>
    <xdr:cxnSp macro="">
      <xdr:nvCxnSpPr>
        <xdr:cNvPr id="9" name="Straight Connector 8"/>
        <xdr:cNvCxnSpPr/>
      </xdr:nvCxnSpPr>
      <xdr:spPr>
        <a:xfrm>
          <a:off x="3086100" y="1733550"/>
          <a:ext cx="1114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11</xdr:row>
      <xdr:rowOff>57150</xdr:rowOff>
    </xdr:from>
    <xdr:to>
      <xdr:col>4</xdr:col>
      <xdr:colOff>561975</xdr:colOff>
      <xdr:row>11</xdr:row>
      <xdr:rowOff>57150</xdr:rowOff>
    </xdr:to>
    <xdr:cxnSp macro="">
      <xdr:nvCxnSpPr>
        <xdr:cNvPr id="11" name="Straight Connector 10"/>
        <xdr:cNvCxnSpPr/>
      </xdr:nvCxnSpPr>
      <xdr:spPr>
        <a:xfrm>
          <a:off x="1790700" y="2638425"/>
          <a:ext cx="1133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11</xdr:row>
      <xdr:rowOff>57150</xdr:rowOff>
    </xdr:from>
    <xdr:to>
      <xdr:col>7</xdr:col>
      <xdr:colOff>581025</xdr:colOff>
      <xdr:row>11</xdr:row>
      <xdr:rowOff>57150</xdr:rowOff>
    </xdr:to>
    <xdr:cxnSp macro="">
      <xdr:nvCxnSpPr>
        <xdr:cNvPr id="13" name="Straight Connector 12"/>
        <xdr:cNvCxnSpPr/>
      </xdr:nvCxnSpPr>
      <xdr:spPr>
        <a:xfrm>
          <a:off x="3162300" y="2638425"/>
          <a:ext cx="1152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15</xdr:row>
      <xdr:rowOff>66675</xdr:rowOff>
    </xdr:from>
    <xdr:to>
      <xdr:col>4</xdr:col>
      <xdr:colOff>590550</xdr:colOff>
      <xdr:row>15</xdr:row>
      <xdr:rowOff>66675</xdr:rowOff>
    </xdr:to>
    <xdr:cxnSp macro="">
      <xdr:nvCxnSpPr>
        <xdr:cNvPr id="15" name="Straight Connector 14"/>
        <xdr:cNvCxnSpPr/>
      </xdr:nvCxnSpPr>
      <xdr:spPr>
        <a:xfrm>
          <a:off x="1790700" y="3438525"/>
          <a:ext cx="1162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15</xdr:row>
      <xdr:rowOff>66675</xdr:rowOff>
    </xdr:from>
    <xdr:to>
      <xdr:col>7</xdr:col>
      <xdr:colOff>581025</xdr:colOff>
      <xdr:row>15</xdr:row>
      <xdr:rowOff>66675</xdr:rowOff>
    </xdr:to>
    <xdr:cxnSp macro="">
      <xdr:nvCxnSpPr>
        <xdr:cNvPr id="17" name="Straight Connector 16"/>
        <xdr:cNvCxnSpPr/>
      </xdr:nvCxnSpPr>
      <xdr:spPr>
        <a:xfrm>
          <a:off x="3171825" y="3438525"/>
          <a:ext cx="1143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19</xdr:row>
      <xdr:rowOff>76200</xdr:rowOff>
    </xdr:from>
    <xdr:to>
      <xdr:col>4</xdr:col>
      <xdr:colOff>657225</xdr:colOff>
      <xdr:row>19</xdr:row>
      <xdr:rowOff>76200</xdr:rowOff>
    </xdr:to>
    <xdr:cxnSp macro="">
      <xdr:nvCxnSpPr>
        <xdr:cNvPr id="19" name="Straight Connector 18"/>
        <xdr:cNvCxnSpPr/>
      </xdr:nvCxnSpPr>
      <xdr:spPr>
        <a:xfrm>
          <a:off x="1809750" y="4410075"/>
          <a:ext cx="1209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19</xdr:row>
      <xdr:rowOff>57150</xdr:rowOff>
    </xdr:from>
    <xdr:to>
      <xdr:col>7</xdr:col>
      <xdr:colOff>581025</xdr:colOff>
      <xdr:row>19</xdr:row>
      <xdr:rowOff>57150</xdr:rowOff>
    </xdr:to>
    <xdr:cxnSp macro="">
      <xdr:nvCxnSpPr>
        <xdr:cNvPr id="21" name="Straight Connector 20"/>
        <xdr:cNvCxnSpPr/>
      </xdr:nvCxnSpPr>
      <xdr:spPr>
        <a:xfrm>
          <a:off x="3257550" y="4391025"/>
          <a:ext cx="1152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2" name="Table2" displayName="Table2" ref="A1:D7" totalsRowShown="0">
  <autoFilter ref="A1:D7"/>
  <tableColumns count="4">
    <tableColumn id="1" name="Proizvodna aktivnost"/>
    <tableColumn id="2" name="Broj zaposlenih"/>
    <tableColumn id="3" name="Mjesečno" dataDxfId="45"/>
    <tableColumn id="4" name="Godišnje" dataDxfId="44"/>
  </tableColumns>
  <tableStyleInfo name="TableStyleMedium12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E81:G87" totalsRowShown="0">
  <autoFilter ref="E81:G87"/>
  <tableColumns count="3">
    <tableColumn id="1" name="God. Vijeka uporabe" dataDxfId="36"/>
    <tableColumn id="2" name="Neto primici ek.tijeka"/>
    <tableColumn id="3" name="Kumulativ ek. Tijeka"/>
  </tableColumns>
  <tableStyleInfo name="TableStyleMedium12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E90:G96" totalsRowShown="0">
  <autoFilter ref="E90:G96"/>
  <tableColumns count="3">
    <tableColumn id="1" name="Godina vijeka uporabe" dataDxfId="35"/>
    <tableColumn id="2" name="Neto primici fin.tijeka"/>
    <tableColumn id="3" name="Kumulativ fin. Tijeka"/>
  </tableColumns>
  <tableStyleInfo name="TableStyleMedium12" showFirstColumn="0" showLastColumn="0" showRowStripes="1" showColumnStripes="0"/>
</table>
</file>

<file path=xl/tables/table12.xml><?xml version="1.0" encoding="utf-8"?>
<table xmlns="http://schemas.openxmlformats.org/spreadsheetml/2006/main" id="1" name="Table52" displayName="Table52" ref="B2:F9" totalsRowShown="0">
  <autoFilter ref="B2:F9"/>
  <tableColumns count="5">
    <tableColumn id="1" name="Izlazne količine proizvoda za prodaju:"/>
    <tableColumn id="2" name="Količine"/>
    <tableColumn id="3" name="Prodajna cijena"/>
    <tableColumn id="4" name="Dnevni prihod" dataDxfId="34">
      <calculatedColumnFormula>Table52[[#This Row],[Količine]]*Table52[[#This Row],[Prodajna cijena]]</calculatedColumnFormula>
    </tableColumn>
    <tableColumn id="5" name="Godišnji prihod" dataDxfId="33">
      <calculatedColumnFormula>Table52[[#This Row],[Dnevni prihod]]*365</calculatedColumnFormula>
    </tableColumn>
  </tableColumns>
  <tableStyleInfo name="TableStyleMedium12" showFirstColumn="0" showLastColumn="0" showRowStripes="1" showColumnStripes="0"/>
</table>
</file>

<file path=xl/tables/table13.xml><?xml version="1.0" encoding="utf-8"?>
<table xmlns="http://schemas.openxmlformats.org/spreadsheetml/2006/main" id="5" name="Table5" displayName="Table5" ref="I81:K88" totalsRowShown="0" headerRowDxfId="32" dataDxfId="31" headerRowCellStyle="Normal 3">
  <autoFilter ref="I81:K88"/>
  <tableColumns count="3">
    <tableColumn id="1" name="Diskontna stopa" dataDxfId="30" dataCellStyle="Normal 3"/>
    <tableColumn id="2" name="Diskontni faktor" dataDxfId="29" dataCellStyle="Normal 3"/>
    <tableColumn id="3" name="Sadašnja vrijednost" dataDxfId="28" dataCellStyle="Normal 3"/>
  </tableColumns>
  <tableStyleInfo name="TableStyleMedium12" showFirstColumn="0" showLastColumn="0" showRowStripes="1" showColumnStripes="0"/>
</table>
</file>

<file path=xl/tables/table14.xml><?xml version="1.0" encoding="utf-8"?>
<table xmlns="http://schemas.openxmlformats.org/spreadsheetml/2006/main" id="19" name="Table19" displayName="Table19" ref="I92:K99" totalsRowShown="0" headerRowDxfId="27" dataDxfId="26" headerRowCellStyle="Normal 3">
  <autoFilter ref="I92:K99"/>
  <tableColumns count="3">
    <tableColumn id="1" name="Diskontna stopa" dataDxfId="25"/>
    <tableColumn id="2" name="Diskontni faktor" dataDxfId="24" dataCellStyle="Normal 3"/>
    <tableColumn id="3" name="Sadašnja vrijednost" dataDxfId="23" dataCellStyle="Normal 3"/>
  </tableColumns>
  <tableStyleInfo name="TableStyleMedium12" showFirstColumn="0" showLastColumn="0" showRowStripes="1" showColumnStripes="0"/>
</table>
</file>

<file path=xl/tables/table15.xml><?xml version="1.0" encoding="utf-8"?>
<table xmlns="http://schemas.openxmlformats.org/spreadsheetml/2006/main" id="20" name="Table20" displayName="Table20" ref="E102:J109" totalsRowShown="0" headerRowDxfId="22" dataDxfId="21" headerRowCellStyle="Normal 3" dataCellStyle="Normal 3">
  <autoFilter ref="E102:J109"/>
  <tableColumns count="6">
    <tableColumn id="1" name="Diskontna stopa" dataDxfId="20"/>
    <tableColumn id="2" name="Diskontni faktor" dataDxfId="19" dataCellStyle="Normal 3"/>
    <tableColumn id="3" name="Sadašnja vrijednost" dataDxfId="18" dataCellStyle="Normal 3"/>
    <tableColumn id="4" name="Diskontna stopa2" dataDxfId="17"/>
    <tableColumn id="5" name="Diskontni faktor2" dataDxfId="16" dataCellStyle="Normal 3"/>
    <tableColumn id="6" name="Sadašnja vrijednost2" dataDxfId="15" dataCellStyle="Normal 3"/>
  </tableColumns>
  <tableStyleInfo name="TableStyleMedium12" showFirstColumn="0" showLastColumn="0" showRowStripes="1" showColumnStripes="0"/>
</table>
</file>

<file path=xl/tables/table16.xml><?xml version="1.0" encoding="utf-8"?>
<table xmlns="http://schemas.openxmlformats.org/spreadsheetml/2006/main" id="14" name="Table14" displayName="Table14" ref="B2:D17" totalsRowShown="0">
  <autoFilter ref="B2:D17"/>
  <tableColumns count="3">
    <tableColumn id="1" name="Potrebna TOBS u 2014.godini"/>
    <tableColumn id="2" name="Column1"/>
    <tableColumn id="3" name="Column2" dataDxfId="14">
      <calculatedColumnFormula>C4*#REF!/365</calculatedColumnFormula>
    </tableColumn>
  </tableColumns>
  <tableStyleInfo name="TableStyleMedium12" showFirstColumn="0" showLastColumn="0" showRowStripes="1" showColumnStripes="0"/>
</table>
</file>

<file path=xl/tables/table17.xml><?xml version="1.0" encoding="utf-8"?>
<table xmlns="http://schemas.openxmlformats.org/spreadsheetml/2006/main" id="15" name="Table15" displayName="Table15" ref="A2:C8" totalsRowShown="0">
  <autoFilter ref="A2:C8"/>
  <tableColumns count="3">
    <tableColumn id="1" name="Iznos kredita"/>
    <tableColumn id="2" name="Iznos kredita2" dataDxfId="13"/>
    <tableColumn id="3" name="350000" dataDxfId="12"/>
  </tableColumns>
  <tableStyleInfo name="TableStyleMedium12" showFirstColumn="0" showLastColumn="0" showRowStripes="1" showColumnStripes="0"/>
</table>
</file>

<file path=xl/tables/table18.xml><?xml version="1.0" encoding="utf-8"?>
<table xmlns="http://schemas.openxmlformats.org/spreadsheetml/2006/main" id="16" name="Table16" displayName="Table16" ref="A14:E38" totalsRowShown="0">
  <autoFilter ref="A14:E38"/>
  <tableColumns count="5">
    <tableColumn id="1" name="Godina"/>
    <tableColumn id="2" name="Anuitet"/>
    <tableColumn id="3" name="Kamate" dataDxfId="11">
      <calculatedColumnFormula>(Table16[[#This Row],[Ostatak duga]]*0.07/4)</calculatedColumnFormula>
    </tableColumn>
    <tableColumn id="4" name="Otplatna kvota" dataDxfId="10">
      <calculatedColumnFormula>Table16[[#This Row],[Anuitet]]-Table16[[#This Row],[Kamate]]</calculatedColumnFormula>
    </tableColumn>
    <tableColumn id="5" name="Ostatak duga"/>
  </tableColumns>
  <tableStyleInfo name="TableStyleMedium12" showFirstColumn="0" showLastColumn="0" showRowStripes="1" showColumnStripes="0"/>
</table>
</file>

<file path=xl/tables/table19.xml><?xml version="1.0" encoding="utf-8"?>
<table xmlns="http://schemas.openxmlformats.org/spreadsheetml/2006/main" id="17" name="Table17" displayName="Table17" ref="H17:J25" totalsRowShown="0">
  <autoFilter ref="H17:J25"/>
  <tableColumns count="3">
    <tableColumn id="1" name=" Godina"/>
    <tableColumn id="2" name="Godišnja kamata"/>
    <tableColumn id="3" name="Godišnja otplata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0:C15" totalsRowShown="0">
  <autoFilter ref="A10:C15"/>
  <tableColumns count="3">
    <tableColumn id="1" name="Troškovi komunalija"/>
    <tableColumn id="2" name="Mjesečno u kn" dataDxfId="43"/>
    <tableColumn id="3" name="Godišnje u kn" dataDxfId="42"/>
  </tableColumns>
  <tableStyleInfo name="TableStyleMedium12" showFirstColumn="0" showLastColumn="0" showRowStripes="1" showColumnStripes="0"/>
</table>
</file>

<file path=xl/tables/table20.xml><?xml version="1.0" encoding="utf-8"?>
<table xmlns="http://schemas.openxmlformats.org/spreadsheetml/2006/main" id="18" name="Table18" displayName="Table18" ref="H28:O31" totalsRowShown="0" headerRowDxfId="9" dataDxfId="8">
  <autoFilter ref="H28:O31"/>
  <tableColumns count="8">
    <tableColumn id="1" name="god. Cca" dataDxfId="7"/>
    <tableColumn id="2" name="2013." dataDxfId="6"/>
    <tableColumn id="3" name="2014." dataDxfId="5">
      <calculatedColumnFormula>ROUND(J20,0)</calculatedColumnFormula>
    </tableColumn>
    <tableColumn id="4" name="2015." dataDxfId="4">
      <calculatedColumnFormula>ROUND(J21,0)</calculatedColumnFormula>
    </tableColumn>
    <tableColumn id="5" name="2016." dataDxfId="3">
      <calculatedColumnFormula>ROUND(J22,0)</calculatedColumnFormula>
    </tableColumn>
    <tableColumn id="6" name="2017." dataDxfId="2">
      <calculatedColumnFormula>ROUND(J23,0)</calculatedColumnFormula>
    </tableColumn>
    <tableColumn id="7" name="2018." dataDxfId="1">
      <calculatedColumnFormula>ROUND(J24,0)</calculatedColumnFormula>
    </tableColumn>
    <tableColumn id="8" name="Ukupno:" dataDxfId="0">
      <calculatedColumnFormula>SUM(Table18[[#This Row],[2013.]:[2018.]])</calculatedColumnFormula>
    </tableColumn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7:B19" totalsRowShown="0">
  <autoFilter ref="A17:B19"/>
  <tableColumns count="2">
    <tableColumn id="1" name="Čišćenje i održavanje"/>
    <tableColumn id="2" name="Troškovi" dataDxfId="41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2:B30" totalsRowShown="0">
  <autoFilter ref="A22:B30"/>
  <tableColumns count="2">
    <tableColumn id="1" name="Imovina:"/>
    <tableColumn id="2" name="Troškovi:" dataDxfId="40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B12:F21" totalsRowShown="0">
  <autoFilter ref="B12:F21"/>
  <tableColumns count="5">
    <tableColumn id="1" name="Ulazne količine sirovine:"/>
    <tableColumn id="2" name="Količine(kom):"/>
    <tableColumn id="3" name="Nabavna cijena:"/>
    <tableColumn id="4" name="Dnevni trošak  materijala" dataDxfId="39">
      <calculatedColumnFormula>Table7[[#This Row],[Količine(kom):]]*Table7[[#This Row],[Nabavna cijena:]]</calculatedColumnFormula>
    </tableColumn>
    <tableColumn id="5" name="Godišnji trošak" dataDxfId="38">
      <calculatedColumnFormula>Table7[[#This Row],[Dnevni trošak  materijala]]*365</calculatedColumnFormula>
    </tableColumn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B24:I38" totalsRowShown="0">
  <autoFilter ref="B24:I38"/>
  <tableColumns count="8">
    <tableColumn id="1" name="OPIS:"/>
    <tableColumn id="2" name="Column1"/>
    <tableColumn id="5" name="GODINE:"/>
    <tableColumn id="6" name="Column6"/>
    <tableColumn id="7" name="Column7"/>
    <tableColumn id="8" name="Column8"/>
    <tableColumn id="9" name="Column9"/>
    <tableColumn id="10" name="Column10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B42:H61" totalsRowShown="0">
  <autoFilter ref="B42:H61"/>
  <tableColumns count="7">
    <tableColumn id="1" name="OPIS:"/>
    <tableColumn id="2" name="GODINE:"/>
    <tableColumn id="3" name="Column1"/>
    <tableColumn id="4" name="Column4"/>
    <tableColumn id="5" name="Column5"/>
    <tableColumn id="6" name="Column6"/>
    <tableColumn id="7" name="Column7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B64:G78" totalsRowShown="0">
  <autoFilter ref="B64:G78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B81:C91" totalsRowShown="0">
  <autoFilter ref="B81:C91"/>
  <tableColumns count="2">
    <tableColumn id="1" name="Column1"/>
    <tableColumn id="2" name="Column2" dataDxfId="37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18" Type="http://schemas.openxmlformats.org/officeDocument/2006/relationships/table" Target="../tables/table15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table" Target="../tables/table9.xml"/><Relationship Id="rId17" Type="http://schemas.openxmlformats.org/officeDocument/2006/relationships/table" Target="../tables/table14.xml"/><Relationship Id="rId2" Type="http://schemas.openxmlformats.org/officeDocument/2006/relationships/drawing" Target="../drawings/drawing1.xml"/><Relationship Id="rId16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Excel_Worksheet1.xlsx"/><Relationship Id="rId11" Type="http://schemas.openxmlformats.org/officeDocument/2006/relationships/table" Target="../tables/table8.xml"/><Relationship Id="rId5" Type="http://schemas.openxmlformats.org/officeDocument/2006/relationships/image" Target="../media/image1.emf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4" Type="http://schemas.openxmlformats.org/officeDocument/2006/relationships/package" Target="../embeddings/Microsoft_Excel_Worksheet.xlsx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8" workbookViewId="0">
      <selection activeCell="C1" sqref="C1"/>
    </sheetView>
  </sheetViews>
  <sheetFormatPr defaultRowHeight="15" x14ac:dyDescent="0.25"/>
  <cols>
    <col min="1" max="1" width="28.42578125" bestFit="1" customWidth="1"/>
    <col min="2" max="2" width="17" bestFit="1" customWidth="1"/>
    <col min="3" max="3" width="15.5703125" bestFit="1" customWidth="1"/>
    <col min="4" max="4" width="11.28515625" bestFit="1" customWidth="1"/>
  </cols>
  <sheetData>
    <row r="1" spans="1:4" x14ac:dyDescent="0.25">
      <c r="A1" t="s">
        <v>4</v>
      </c>
      <c r="B1" t="s">
        <v>11</v>
      </c>
      <c r="C1" t="s">
        <v>5</v>
      </c>
      <c r="D1" t="s">
        <v>6</v>
      </c>
    </row>
    <row r="2" spans="1:4" x14ac:dyDescent="0.25">
      <c r="A2" s="1" t="s">
        <v>7</v>
      </c>
      <c r="B2" s="1">
        <v>2</v>
      </c>
      <c r="C2" s="34">
        <f xml:space="preserve"> 3500 *Table2[[#This Row],[Broj zaposlenih]]</f>
        <v>7000</v>
      </c>
      <c r="D2" s="35">
        <f>Table2[[#This Row],[Mjesečno]]*12</f>
        <v>84000</v>
      </c>
    </row>
    <row r="3" spans="1:4" x14ac:dyDescent="0.25">
      <c r="A3" t="s">
        <v>8</v>
      </c>
      <c r="B3">
        <v>4</v>
      </c>
      <c r="C3" s="35">
        <f>4200*4</f>
        <v>16800</v>
      </c>
      <c r="D3" s="35">
        <f>Table2[[#This Row],[Mjesečno]]*12</f>
        <v>201600</v>
      </c>
    </row>
    <row r="4" spans="1:4" x14ac:dyDescent="0.25">
      <c r="A4" t="s">
        <v>188</v>
      </c>
      <c r="B4">
        <v>3</v>
      </c>
      <c r="C4" s="35">
        <f>3800*3</f>
        <v>11400</v>
      </c>
      <c r="D4" s="35">
        <f>Table2[[#This Row],[Mjesečno]]*12</f>
        <v>136800</v>
      </c>
    </row>
    <row r="5" spans="1:4" x14ac:dyDescent="0.25">
      <c r="A5" t="s">
        <v>9</v>
      </c>
      <c r="B5">
        <v>2</v>
      </c>
      <c r="C5" s="35">
        <f>3800*2</f>
        <v>7600</v>
      </c>
      <c r="D5" s="35">
        <f>Table2[[#This Row],[Mjesečno]]*12</f>
        <v>91200</v>
      </c>
    </row>
    <row r="6" spans="1:4" x14ac:dyDescent="0.25">
      <c r="A6" t="s">
        <v>189</v>
      </c>
      <c r="B6">
        <v>1</v>
      </c>
      <c r="C6" s="35">
        <v>1200</v>
      </c>
      <c r="D6" s="35">
        <f>Table2[[#This Row],[Mjesečno]]*12</f>
        <v>14400</v>
      </c>
    </row>
    <row r="7" spans="1:4" x14ac:dyDescent="0.25">
      <c r="A7" s="1" t="s">
        <v>10</v>
      </c>
      <c r="B7" s="1">
        <f>SUM(B2:B6)</f>
        <v>12</v>
      </c>
      <c r="C7" s="34">
        <f>SUM(C2:C6)</f>
        <v>44000</v>
      </c>
      <c r="D7" s="35">
        <f>SUM(D2:D6)</f>
        <v>528000</v>
      </c>
    </row>
    <row r="10" spans="1:4" x14ac:dyDescent="0.25">
      <c r="A10" t="s">
        <v>12</v>
      </c>
      <c r="B10" t="s">
        <v>18</v>
      </c>
      <c r="C10" t="s">
        <v>17</v>
      </c>
    </row>
    <row r="11" spans="1:4" x14ac:dyDescent="0.25">
      <c r="A11" s="1" t="s">
        <v>13</v>
      </c>
      <c r="B11" s="35">
        <v>1500</v>
      </c>
      <c r="C11" s="35">
        <f>Table3[[#This Row],[Mjesečno u kn]]*12</f>
        <v>18000</v>
      </c>
    </row>
    <row r="12" spans="1:4" x14ac:dyDescent="0.25">
      <c r="A12" s="1" t="s">
        <v>14</v>
      </c>
      <c r="B12" s="35">
        <v>2800</v>
      </c>
      <c r="C12" s="35">
        <f>Table3[[#This Row],[Mjesečno u kn]]*12</f>
        <v>33600</v>
      </c>
    </row>
    <row r="13" spans="1:4" x14ac:dyDescent="0.25">
      <c r="A13" t="s">
        <v>15</v>
      </c>
      <c r="B13" s="35">
        <v>3500</v>
      </c>
      <c r="C13" s="35">
        <f>Table3[[#This Row],[Mjesečno u kn]]*12</f>
        <v>42000</v>
      </c>
    </row>
    <row r="14" spans="1:4" x14ac:dyDescent="0.25">
      <c r="A14" t="s">
        <v>16</v>
      </c>
      <c r="B14" s="35">
        <v>150</v>
      </c>
      <c r="C14" s="35">
        <f>Table3[[#This Row],[Mjesečno u kn]]*12</f>
        <v>1800</v>
      </c>
    </row>
    <row r="15" spans="1:4" x14ac:dyDescent="0.25">
      <c r="A15" s="1" t="s">
        <v>10</v>
      </c>
      <c r="B15" s="34">
        <f>SUM(B11:B14)</f>
        <v>7950</v>
      </c>
      <c r="C15" s="35">
        <f>SUM(C11:C14)</f>
        <v>95400</v>
      </c>
    </row>
    <row r="17" spans="1:2" x14ac:dyDescent="0.25">
      <c r="A17" t="s">
        <v>19</v>
      </c>
      <c r="B17" t="s">
        <v>20</v>
      </c>
    </row>
    <row r="18" spans="1:2" x14ac:dyDescent="0.25">
      <c r="A18" s="1" t="s">
        <v>5</v>
      </c>
      <c r="B18" s="35">
        <v>1000</v>
      </c>
    </row>
    <row r="19" spans="1:2" x14ac:dyDescent="0.25">
      <c r="A19" s="1" t="s">
        <v>6</v>
      </c>
      <c r="B19" s="35">
        <f>B18*12</f>
        <v>12000</v>
      </c>
    </row>
    <row r="22" spans="1:2" x14ac:dyDescent="0.25">
      <c r="A22" t="s">
        <v>21</v>
      </c>
      <c r="B22" t="s">
        <v>22</v>
      </c>
    </row>
    <row r="23" spans="1:2" x14ac:dyDescent="0.25">
      <c r="A23" s="1" t="s">
        <v>23</v>
      </c>
      <c r="B23" s="35">
        <v>75000</v>
      </c>
    </row>
    <row r="24" spans="1:2" x14ac:dyDescent="0.25">
      <c r="A24" t="s">
        <v>24</v>
      </c>
      <c r="B24" s="35">
        <v>22500</v>
      </c>
    </row>
    <row r="25" spans="1:2" x14ac:dyDescent="0.25">
      <c r="A25" t="s">
        <v>25</v>
      </c>
      <c r="B25" s="35">
        <v>11250</v>
      </c>
    </row>
    <row r="26" spans="1:2" x14ac:dyDescent="0.25">
      <c r="A26" t="s">
        <v>26</v>
      </c>
      <c r="B26" s="35">
        <v>75000</v>
      </c>
    </row>
    <row r="27" spans="1:2" x14ac:dyDescent="0.25">
      <c r="A27" t="s">
        <v>27</v>
      </c>
      <c r="B27" s="35">
        <v>46250</v>
      </c>
    </row>
    <row r="28" spans="1:2" x14ac:dyDescent="0.25">
      <c r="A28" t="s">
        <v>28</v>
      </c>
      <c r="B28" s="35">
        <v>30000</v>
      </c>
    </row>
    <row r="29" spans="1:2" x14ac:dyDescent="0.25">
      <c r="A29" s="1" t="s">
        <v>177</v>
      </c>
      <c r="B29" s="35">
        <v>90000</v>
      </c>
    </row>
    <row r="30" spans="1:2" x14ac:dyDescent="0.25">
      <c r="A30" s="1" t="s">
        <v>29</v>
      </c>
      <c r="B30" s="35">
        <f>SUM(B23:B29)</f>
        <v>350000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09"/>
  <sheetViews>
    <sheetView tabSelected="1" topLeftCell="B52" zoomScale="86" zoomScaleNormal="86" workbookViewId="0">
      <selection activeCell="C79" sqref="C79"/>
    </sheetView>
  </sheetViews>
  <sheetFormatPr defaultRowHeight="15" x14ac:dyDescent="0.25"/>
  <cols>
    <col min="2" max="2" width="52.5703125" bestFit="1" customWidth="1"/>
    <col min="3" max="3" width="19.7109375" customWidth="1"/>
    <col min="4" max="4" width="21.7109375" customWidth="1"/>
    <col min="5" max="5" width="25.140625" customWidth="1"/>
    <col min="6" max="6" width="20.5703125" customWidth="1"/>
    <col min="7" max="7" width="20.42578125" customWidth="1"/>
    <col min="8" max="8" width="18.140625" customWidth="1"/>
    <col min="9" max="9" width="21.85546875" customWidth="1"/>
    <col min="10" max="11" width="18.140625" customWidth="1"/>
    <col min="12" max="12" width="16" customWidth="1"/>
    <col min="13" max="13" width="14.85546875" customWidth="1"/>
    <col min="14" max="15" width="15.28515625" customWidth="1"/>
    <col min="16" max="16" width="14.7109375" customWidth="1"/>
    <col min="17" max="17" width="15.140625" customWidth="1"/>
    <col min="18" max="18" width="13.42578125" customWidth="1"/>
  </cols>
  <sheetData>
    <row r="1" spans="2:17" ht="15.75" x14ac:dyDescent="0.25">
      <c r="C1" s="72" t="s">
        <v>157</v>
      </c>
      <c r="D1" s="72"/>
    </row>
    <row r="2" spans="2:17" ht="18.75" x14ac:dyDescent="0.3">
      <c r="B2" t="s">
        <v>31</v>
      </c>
      <c r="C2" t="s">
        <v>37</v>
      </c>
      <c r="D2" t="s">
        <v>38</v>
      </c>
      <c r="E2" t="s">
        <v>39</v>
      </c>
      <c r="F2" t="s">
        <v>40</v>
      </c>
      <c r="K2" s="31" t="s">
        <v>96</v>
      </c>
    </row>
    <row r="3" spans="2:17" ht="23.25" customHeight="1" thickBot="1" x14ac:dyDescent="0.3">
      <c r="B3" s="1" t="s">
        <v>32</v>
      </c>
      <c r="C3" s="1">
        <v>45</v>
      </c>
      <c r="D3">
        <v>26</v>
      </c>
      <c r="E3" s="35">
        <f>Table52[[#This Row],[Količine]]*Table52[[#This Row],[Prodajna cijena]]</f>
        <v>1170</v>
      </c>
      <c r="F3" s="35">
        <f>Table52[[#This Row],[Dnevni prihod]]*365</f>
        <v>427050</v>
      </c>
      <c r="H3" s="19" t="s">
        <v>141</v>
      </c>
      <c r="I3" s="19" t="s">
        <v>142</v>
      </c>
      <c r="J3" s="19" t="s">
        <v>143</v>
      </c>
      <c r="K3" s="19" t="s">
        <v>144</v>
      </c>
      <c r="L3" s="19" t="s">
        <v>179</v>
      </c>
      <c r="M3" s="19" t="s">
        <v>179</v>
      </c>
      <c r="N3" s="19" t="s">
        <v>179</v>
      </c>
      <c r="O3" s="19" t="s">
        <v>179</v>
      </c>
      <c r="P3" s="19" t="s">
        <v>179</v>
      </c>
      <c r="Q3" s="20" t="s">
        <v>63</v>
      </c>
    </row>
    <row r="4" spans="2:17" ht="15.75" thickTop="1" x14ac:dyDescent="0.25">
      <c r="B4" t="s">
        <v>33</v>
      </c>
      <c r="C4">
        <v>62</v>
      </c>
      <c r="D4">
        <v>8</v>
      </c>
      <c r="E4" s="35">
        <f>Table52[[#This Row],[Količine]]*Table52[[#This Row],[Prodajna cijena]]</f>
        <v>496</v>
      </c>
      <c r="F4" s="35">
        <f>Table52[[#This Row],[Dnevni prihod]]*365</f>
        <v>181040</v>
      </c>
      <c r="H4" s="21"/>
      <c r="I4" s="21"/>
      <c r="J4" s="21"/>
      <c r="K4" s="21"/>
      <c r="L4" s="21">
        <v>0</v>
      </c>
      <c r="M4" s="21">
        <v>1</v>
      </c>
      <c r="N4" s="21">
        <v>2</v>
      </c>
      <c r="O4" s="21">
        <v>3</v>
      </c>
      <c r="P4" s="21">
        <v>4</v>
      </c>
      <c r="Q4" s="22">
        <v>5</v>
      </c>
    </row>
    <row r="5" spans="2:17" x14ac:dyDescent="0.25">
      <c r="B5" t="s">
        <v>34</v>
      </c>
      <c r="C5">
        <v>65</v>
      </c>
      <c r="D5">
        <v>10</v>
      </c>
      <c r="E5" s="35">
        <f>Table52[[#This Row],[Količine]]*Table52[[#This Row],[Prodajna cijena]]</f>
        <v>650</v>
      </c>
      <c r="F5" s="35">
        <f>Table52[[#This Row],[Dnevni prihod]]*365</f>
        <v>237250</v>
      </c>
      <c r="H5" s="23"/>
      <c r="I5" s="23"/>
      <c r="J5" s="23"/>
      <c r="K5" s="23"/>
      <c r="L5" s="38" t="s">
        <v>191</v>
      </c>
      <c r="M5" s="38" t="s">
        <v>130</v>
      </c>
      <c r="N5" s="38" t="s">
        <v>184</v>
      </c>
      <c r="O5" s="38" t="s">
        <v>185</v>
      </c>
      <c r="P5" s="38" t="s">
        <v>186</v>
      </c>
      <c r="Q5" s="39" t="s">
        <v>187</v>
      </c>
    </row>
    <row r="6" spans="2:17" ht="16.5" customHeight="1" x14ac:dyDescent="0.25">
      <c r="B6" s="1" t="s">
        <v>35</v>
      </c>
      <c r="C6" s="1">
        <v>31</v>
      </c>
      <c r="D6">
        <v>12</v>
      </c>
      <c r="E6" s="35">
        <f>Table52[[#This Row],[Količine]]*Table52[[#This Row],[Prodajna cijena]]</f>
        <v>372</v>
      </c>
      <c r="F6" s="35">
        <f>Table52[[#This Row],[Dnevni prihod]]*365</f>
        <v>135780</v>
      </c>
      <c r="H6" s="24" t="s">
        <v>145</v>
      </c>
      <c r="I6" s="21" t="s">
        <v>148</v>
      </c>
      <c r="J6" s="21"/>
      <c r="K6" s="21"/>
      <c r="L6" s="21"/>
      <c r="M6" s="21"/>
      <c r="N6" s="21"/>
      <c r="O6" s="21"/>
      <c r="P6" s="21"/>
      <c r="Q6" s="22"/>
    </row>
    <row r="7" spans="2:17" ht="15.75" customHeight="1" x14ac:dyDescent="0.25">
      <c r="B7" s="1" t="s">
        <v>199</v>
      </c>
      <c r="C7" s="1">
        <v>42</v>
      </c>
      <c r="D7">
        <v>35</v>
      </c>
      <c r="E7" s="35">
        <f>Table52[[#This Row],[Količine]]*Table52[[#This Row],[Prodajna cijena]]</f>
        <v>1470</v>
      </c>
      <c r="F7" s="35">
        <f>Table52[[#This Row],[Dnevni prihod]]*365</f>
        <v>536550</v>
      </c>
      <c r="H7" s="25">
        <v>1</v>
      </c>
      <c r="I7" s="23" t="s">
        <v>149</v>
      </c>
      <c r="J7" s="41">
        <v>500000</v>
      </c>
      <c r="K7" s="26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45">
        <v>500000</v>
      </c>
    </row>
    <row r="8" spans="2:17" x14ac:dyDescent="0.25">
      <c r="B8" t="s">
        <v>198</v>
      </c>
      <c r="C8">
        <v>62</v>
      </c>
      <c r="D8">
        <v>16</v>
      </c>
      <c r="E8" s="35">
        <f>Table52[[#This Row],[Količine]]*Table52[[#This Row],[Prodajna cijena]]</f>
        <v>992</v>
      </c>
      <c r="F8" s="35">
        <f>Table52[[#This Row],[Dnevni prihod]]*365</f>
        <v>362080</v>
      </c>
      <c r="H8" s="24">
        <v>2</v>
      </c>
      <c r="I8" s="21" t="s">
        <v>150</v>
      </c>
      <c r="J8" s="42">
        <v>90000</v>
      </c>
      <c r="K8" s="27">
        <v>0.03</v>
      </c>
      <c r="L8" s="42">
        <f>'Tijekovi,predpostavke,troškovi'!$J8*0.03</f>
        <v>2700</v>
      </c>
      <c r="M8" s="42">
        <f>'Tijekovi,predpostavke,troškovi'!$J8*0.03</f>
        <v>2700</v>
      </c>
      <c r="N8" s="42">
        <f>'Tijekovi,predpostavke,troškovi'!$J8*0.03</f>
        <v>2700</v>
      </c>
      <c r="O8" s="42">
        <f>'Tijekovi,predpostavke,troškovi'!$J8*0.03</f>
        <v>2700</v>
      </c>
      <c r="P8" s="42">
        <f>'Tijekovi,predpostavke,troškovi'!$J8*0.03</f>
        <v>2700</v>
      </c>
      <c r="Q8" s="44">
        <f>J8-SUM('Tijekovi,predpostavke,troškovi'!$L8:$P8)</f>
        <v>76500</v>
      </c>
    </row>
    <row r="9" spans="2:17" x14ac:dyDescent="0.25">
      <c r="B9" s="1" t="s">
        <v>36</v>
      </c>
      <c r="C9" s="1">
        <f>SUM(C3:C8)</f>
        <v>307</v>
      </c>
      <c r="D9" s="1">
        <f>SUM(D3:D8)</f>
        <v>107</v>
      </c>
      <c r="E9" s="34">
        <f>SUM(E3:E8)</f>
        <v>5150</v>
      </c>
      <c r="F9" s="34">
        <f>SUM(F3:F8)</f>
        <v>1879750</v>
      </c>
      <c r="H9" s="25">
        <v>3</v>
      </c>
      <c r="I9" s="23" t="s">
        <v>151</v>
      </c>
      <c r="J9" s="41">
        <v>260000</v>
      </c>
      <c r="K9" s="26">
        <v>0.15</v>
      </c>
      <c r="L9" s="41">
        <f>'Tijekovi,predpostavke,troškovi'!$J9*0.15</f>
        <v>39000</v>
      </c>
      <c r="M9" s="41">
        <f>'Tijekovi,predpostavke,troškovi'!$J9*0.15</f>
        <v>39000</v>
      </c>
      <c r="N9" s="41">
        <f>'Tijekovi,predpostavke,troškovi'!$J9*0.15</f>
        <v>39000</v>
      </c>
      <c r="O9" s="41">
        <f>'Tijekovi,predpostavke,troškovi'!$J9*0.15</f>
        <v>39000</v>
      </c>
      <c r="P9" s="41">
        <f>'Tijekovi,predpostavke,troškovi'!$J9*0.15</f>
        <v>39000</v>
      </c>
      <c r="Q9" s="45">
        <f>J9-SUM('Tijekovi,predpostavke,troškovi'!$L9:$P9)</f>
        <v>65000</v>
      </c>
    </row>
    <row r="10" spans="2:17" x14ac:dyDescent="0.25">
      <c r="H10" s="24">
        <v>4</v>
      </c>
      <c r="I10" s="37" t="s">
        <v>190</v>
      </c>
      <c r="J10" s="42">
        <v>75000</v>
      </c>
      <c r="K10" s="27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4">
        <f>J10</f>
        <v>75000</v>
      </c>
    </row>
    <row r="11" spans="2:17" ht="22.5" customHeight="1" x14ac:dyDescent="0.25">
      <c r="B11" s="1"/>
      <c r="C11" s="73" t="s">
        <v>158</v>
      </c>
      <c r="D11" s="73"/>
      <c r="E11" s="3"/>
      <c r="F11" s="3"/>
      <c r="H11" s="25" t="s">
        <v>146</v>
      </c>
      <c r="I11" s="23" t="s">
        <v>152</v>
      </c>
      <c r="J11" s="41">
        <f>SUM(J7:J10)</f>
        <v>925000</v>
      </c>
      <c r="K11" s="23"/>
      <c r="L11" s="41">
        <f>SUM(L8:L9)</f>
        <v>41700</v>
      </c>
      <c r="M11" s="41">
        <f>SUM(M8:M9)</f>
        <v>41700</v>
      </c>
      <c r="N11" s="41">
        <f>SUM(N8:N9)</f>
        <v>41700</v>
      </c>
      <c r="O11" s="41">
        <f>SUM(O7:O9)</f>
        <v>41700</v>
      </c>
      <c r="P11" s="41">
        <f>SUM(P7:P9)</f>
        <v>41700</v>
      </c>
      <c r="Q11" s="45"/>
    </row>
    <row r="12" spans="2:17" x14ac:dyDescent="0.25">
      <c r="B12" t="s">
        <v>41</v>
      </c>
      <c r="C12" t="s">
        <v>52</v>
      </c>
      <c r="D12" t="s">
        <v>42</v>
      </c>
      <c r="E12" t="s">
        <v>43</v>
      </c>
      <c r="F12" t="s">
        <v>44</v>
      </c>
      <c r="H12" s="24" t="s">
        <v>147</v>
      </c>
      <c r="I12" s="21" t="s">
        <v>153</v>
      </c>
      <c r="J12" s="42"/>
      <c r="K12" s="21"/>
      <c r="L12" s="42">
        <f>J11-L11</f>
        <v>883300</v>
      </c>
      <c r="M12" s="42">
        <f>J11-L11-M11</f>
        <v>841600</v>
      </c>
      <c r="N12" s="42">
        <f>J11-L11-M11-N11</f>
        <v>799900</v>
      </c>
      <c r="O12" s="42">
        <f>J11-L11-M11-N11-O11</f>
        <v>758200</v>
      </c>
      <c r="P12" s="42">
        <f>J11-L11-M11-N11-O11-P11</f>
        <v>716500</v>
      </c>
      <c r="Q12" s="44">
        <f>SUM(Q7:Q10)</f>
        <v>716500</v>
      </c>
    </row>
    <row r="13" spans="2:17" x14ac:dyDescent="0.25">
      <c r="B13" t="s">
        <v>45</v>
      </c>
      <c r="C13">
        <v>95</v>
      </c>
      <c r="D13">
        <v>0.5</v>
      </c>
      <c r="E13" s="2">
        <f>Table7[[#This Row],[Količine(kom):]]*Table7[[#This Row],[Nabavna cijena:]]</f>
        <v>47.5</v>
      </c>
      <c r="F13" s="40">
        <f>Table7[[#This Row],[Dnevni trošak  materijala]]*365</f>
        <v>17337.5</v>
      </c>
      <c r="H13" s="25">
        <v>1</v>
      </c>
      <c r="I13" s="23" t="s">
        <v>64</v>
      </c>
      <c r="J13" s="41">
        <f>SUM(J7:J10)</f>
        <v>925000</v>
      </c>
      <c r="K13" s="41"/>
      <c r="L13" s="23"/>
      <c r="M13" s="41"/>
      <c r="N13" s="41"/>
      <c r="O13" s="41"/>
      <c r="P13" s="41"/>
      <c r="Q13" s="45">
        <f>Q12</f>
        <v>716500</v>
      </c>
    </row>
    <row r="14" spans="2:17" x14ac:dyDescent="0.25">
      <c r="B14" t="s">
        <v>46</v>
      </c>
      <c r="C14">
        <v>4</v>
      </c>
      <c r="D14">
        <v>8</v>
      </c>
      <c r="E14" s="2">
        <f>Table7[[#This Row],[Količine(kom):]]*Table7[[#This Row],[Nabavna cijena:]]</f>
        <v>32</v>
      </c>
      <c r="F14" s="35">
        <f>Table7[[#This Row],[Dnevni trošak  materijala]]*365</f>
        <v>11680</v>
      </c>
      <c r="H14" s="24">
        <v>2</v>
      </c>
      <c r="I14" s="21" t="s">
        <v>154</v>
      </c>
      <c r="J14" s="42">
        <v>1344</v>
      </c>
      <c r="K14" s="21"/>
      <c r="L14" s="21"/>
      <c r="M14" s="42"/>
      <c r="N14" s="42"/>
      <c r="O14" s="42"/>
      <c r="P14" s="42"/>
      <c r="Q14" s="44">
        <f>J14</f>
        <v>1344</v>
      </c>
    </row>
    <row r="15" spans="2:17" x14ac:dyDescent="0.25">
      <c r="B15" t="s">
        <v>47</v>
      </c>
      <c r="C15">
        <v>6</v>
      </c>
      <c r="D15">
        <v>5</v>
      </c>
      <c r="E15" s="2">
        <f>Table7[[#This Row],[Količine(kom):]]*Table7[[#This Row],[Nabavna cijena:]]</f>
        <v>30</v>
      </c>
      <c r="F15" s="35">
        <f>Table7[[#This Row],[Dnevni trošak  materijala]]*365</f>
        <v>10950</v>
      </c>
      <c r="H15" s="28">
        <v>3</v>
      </c>
      <c r="I15" s="29" t="s">
        <v>10</v>
      </c>
      <c r="J15" s="43">
        <f>SUM(J13:J14)</f>
        <v>926344</v>
      </c>
      <c r="K15" s="29"/>
      <c r="L15" s="29"/>
      <c r="M15" s="43"/>
      <c r="N15" s="43"/>
      <c r="O15" s="43"/>
      <c r="P15" s="43"/>
      <c r="Q15" s="46">
        <f>SUM(Q13:Q14)</f>
        <v>717844</v>
      </c>
    </row>
    <row r="16" spans="2:17" x14ac:dyDescent="0.25">
      <c r="B16" t="s">
        <v>48</v>
      </c>
      <c r="C16">
        <v>50</v>
      </c>
      <c r="D16">
        <v>20</v>
      </c>
      <c r="E16" s="35">
        <f>Table7[[#This Row],[Količine(kom):]]*Table7[[#This Row],[Nabavna cijena:]]</f>
        <v>1000</v>
      </c>
      <c r="F16" s="35">
        <f>Table7[[#This Row],[Dnevni trošak  materijala]]*365</f>
        <v>365000</v>
      </c>
    </row>
    <row r="17" spans="2:9" x14ac:dyDescent="0.25">
      <c r="B17" t="s">
        <v>49</v>
      </c>
      <c r="C17">
        <v>30</v>
      </c>
      <c r="D17">
        <v>0.3</v>
      </c>
      <c r="E17" s="2">
        <f>Table7[[#This Row],[Količine(kom):]]*Table7[[#This Row],[Nabavna cijena:]]</f>
        <v>9</v>
      </c>
      <c r="F17" s="35">
        <f>Table7[[#This Row],[Dnevni trošak  materijala]]*365</f>
        <v>3285</v>
      </c>
    </row>
    <row r="18" spans="2:9" x14ac:dyDescent="0.25">
      <c r="B18" t="s">
        <v>53</v>
      </c>
      <c r="C18">
        <v>55</v>
      </c>
      <c r="D18">
        <v>3</v>
      </c>
      <c r="E18" s="2">
        <f>Table7[[#This Row],[Količine(kom):]]*Table7[[#This Row],[Nabavna cijena:]]</f>
        <v>165</v>
      </c>
      <c r="F18" s="35">
        <f>Table7[[#This Row],[Dnevni trošak  materijala]]*365</f>
        <v>60225</v>
      </c>
    </row>
    <row r="19" spans="2:9" x14ac:dyDescent="0.25">
      <c r="B19" t="s">
        <v>50</v>
      </c>
      <c r="C19">
        <v>75</v>
      </c>
      <c r="D19">
        <v>3.5</v>
      </c>
      <c r="E19" s="2">
        <f>Table7[[#This Row],[Količine(kom):]]*Table7[[#This Row],[Nabavna cijena:]]</f>
        <v>262.5</v>
      </c>
      <c r="F19" s="40">
        <f>Table7[[#This Row],[Dnevni trošak  materijala]]*365</f>
        <v>95812.5</v>
      </c>
    </row>
    <row r="20" spans="2:9" x14ac:dyDescent="0.25">
      <c r="B20" t="s">
        <v>51</v>
      </c>
      <c r="C20">
        <v>250</v>
      </c>
      <c r="D20">
        <v>0.8</v>
      </c>
      <c r="E20" s="2">
        <f>Table7[[#This Row],[Količine(kom):]]*Table7[[#This Row],[Nabavna cijena:]]</f>
        <v>200</v>
      </c>
      <c r="F20" s="35">
        <f>Table7[[#This Row],[Dnevni trošak  materijala]]*365</f>
        <v>73000</v>
      </c>
    </row>
    <row r="21" spans="2:9" x14ac:dyDescent="0.25">
      <c r="B21" s="1" t="s">
        <v>29</v>
      </c>
      <c r="C21">
        <f>SUM(C13:C20)</f>
        <v>565</v>
      </c>
      <c r="D21">
        <f>SUM(D13:D20)</f>
        <v>41.099999999999994</v>
      </c>
      <c r="E21" s="35">
        <f>SUM(E13:E20)</f>
        <v>1746</v>
      </c>
      <c r="F21" s="35">
        <f>SUM(F13:F20)</f>
        <v>637290</v>
      </c>
    </row>
    <row r="23" spans="2:9" ht="18.75" x14ac:dyDescent="0.3">
      <c r="E23" s="4" t="s">
        <v>74</v>
      </c>
    </row>
    <row r="24" spans="2:9" x14ac:dyDescent="0.25">
      <c r="B24" t="s">
        <v>59</v>
      </c>
      <c r="C24" t="s">
        <v>0</v>
      </c>
      <c r="D24" t="s">
        <v>60</v>
      </c>
      <c r="E24" t="s">
        <v>54</v>
      </c>
      <c r="F24" t="s">
        <v>55</v>
      </c>
      <c r="G24" t="s">
        <v>56</v>
      </c>
      <c r="H24" t="s">
        <v>57</v>
      </c>
      <c r="I24" t="s">
        <v>58</v>
      </c>
    </row>
    <row r="25" spans="2:9" x14ac:dyDescent="0.25">
      <c r="B25" s="1"/>
      <c r="D25" t="s">
        <v>100</v>
      </c>
      <c r="E25" t="s">
        <v>130</v>
      </c>
      <c r="F25" t="s">
        <v>184</v>
      </c>
      <c r="G25" t="s">
        <v>185</v>
      </c>
      <c r="H25" t="s">
        <v>186</v>
      </c>
      <c r="I25" t="s">
        <v>187</v>
      </c>
    </row>
    <row r="26" spans="2:9" x14ac:dyDescent="0.25">
      <c r="B26" s="50" t="s">
        <v>61</v>
      </c>
      <c r="C26" s="50"/>
      <c r="D26" s="49">
        <v>0</v>
      </c>
      <c r="E26" s="52">
        <f>F9</f>
        <v>1879750</v>
      </c>
      <c r="F26" s="49">
        <f>Table8[[#This Row],[Column6]]</f>
        <v>1879750</v>
      </c>
      <c r="G26" s="49">
        <f>Table8[[#This Row],[Column7]]</f>
        <v>1879750</v>
      </c>
      <c r="H26" s="49">
        <f>Table8[[#This Row],[Column8]]</f>
        <v>1879750</v>
      </c>
      <c r="I26" s="49">
        <f>I27+I30</f>
        <v>2597594</v>
      </c>
    </row>
    <row r="27" spans="2:9" x14ac:dyDescent="0.25">
      <c r="B27" t="s">
        <v>62</v>
      </c>
      <c r="D27" s="35"/>
      <c r="E27" s="35">
        <f>F9</f>
        <v>1879750</v>
      </c>
      <c r="F27" s="35">
        <f>Table8[[#This Row],[Column6]]</f>
        <v>1879750</v>
      </c>
      <c r="G27" s="35">
        <f>Table8[[#This Row],[Column7]]</f>
        <v>1879750</v>
      </c>
      <c r="H27" s="35">
        <f>Table8[[#This Row],[Column8]]</f>
        <v>1879750</v>
      </c>
      <c r="I27" s="35">
        <f>Table8[[#This Row],[Column9]]</f>
        <v>1879750</v>
      </c>
    </row>
    <row r="28" spans="2:9" ht="28.5" customHeight="1" x14ac:dyDescent="0.25">
      <c r="B28" t="s">
        <v>63</v>
      </c>
      <c r="C28" t="s">
        <v>64</v>
      </c>
      <c r="D28" s="35"/>
      <c r="E28" s="35"/>
      <c r="F28" s="35"/>
      <c r="G28" s="35"/>
      <c r="H28" s="35"/>
      <c r="I28" s="35">
        <f>Q13</f>
        <v>716500</v>
      </c>
    </row>
    <row r="29" spans="2:9" ht="29.25" customHeight="1" x14ac:dyDescent="0.25">
      <c r="C29" t="s">
        <v>65</v>
      </c>
      <c r="D29" s="35"/>
      <c r="E29" s="35"/>
      <c r="F29" s="35"/>
      <c r="G29" s="35"/>
      <c r="H29" s="35"/>
      <c r="I29" s="35">
        <v>1344</v>
      </c>
    </row>
    <row r="30" spans="2:9" x14ac:dyDescent="0.25">
      <c r="C30" t="s">
        <v>66</v>
      </c>
      <c r="D30" s="35"/>
      <c r="E30" s="35"/>
      <c r="F30" s="35"/>
      <c r="G30" s="35"/>
      <c r="H30" s="35"/>
      <c r="I30" s="35">
        <f>I28+I29</f>
        <v>717844</v>
      </c>
    </row>
    <row r="31" spans="2:9" x14ac:dyDescent="0.25">
      <c r="B31" s="50" t="s">
        <v>80</v>
      </c>
      <c r="C31" s="50"/>
      <c r="D31" s="49">
        <f>D32+D33+D34+D35+D36</f>
        <v>926344</v>
      </c>
      <c r="E31" s="49">
        <f t="shared" ref="E31:I31" si="0">E32+E33+E34+E35+E36</f>
        <v>1383154</v>
      </c>
      <c r="F31" s="49">
        <f t="shared" si="0"/>
        <v>1383678.2</v>
      </c>
      <c r="G31" s="49">
        <f t="shared" si="0"/>
        <v>1384223.6</v>
      </c>
      <c r="H31" s="49">
        <f t="shared" si="0"/>
        <v>1384791.2</v>
      </c>
      <c r="I31" s="49">
        <f t="shared" si="0"/>
        <v>1385381.8</v>
      </c>
    </row>
    <row r="32" spans="2:9" x14ac:dyDescent="0.25">
      <c r="B32" t="s">
        <v>67</v>
      </c>
      <c r="D32" s="35">
        <f>J13</f>
        <v>925000</v>
      </c>
      <c r="E32" s="35"/>
      <c r="F32" s="35"/>
      <c r="G32" s="35"/>
      <c r="H32" s="35"/>
      <c r="I32" s="35"/>
    </row>
    <row r="33" spans="2:9" x14ac:dyDescent="0.25">
      <c r="B33" t="s">
        <v>68</v>
      </c>
      <c r="D33" s="35">
        <v>1344</v>
      </c>
      <c r="E33" s="35"/>
      <c r="F33" s="35"/>
      <c r="G33" s="35"/>
      <c r="H33" s="35"/>
      <c r="I33" s="35"/>
    </row>
    <row r="34" spans="2:9" x14ac:dyDescent="0.25">
      <c r="B34" t="s">
        <v>69</v>
      </c>
      <c r="D34" s="35"/>
      <c r="E34" s="35">
        <f>SUM(C68:C70)</f>
        <v>744690</v>
      </c>
      <c r="F34" s="35">
        <f>SUM(D68:D70)</f>
        <v>744690</v>
      </c>
      <c r="G34" s="35">
        <f t="shared" ref="G34:I34" si="1">SUM(E68:E70)</f>
        <v>744690</v>
      </c>
      <c r="H34" s="35">
        <f t="shared" si="1"/>
        <v>744690</v>
      </c>
      <c r="I34" s="35">
        <f t="shared" si="1"/>
        <v>744690</v>
      </c>
    </row>
    <row r="35" spans="2:9" x14ac:dyDescent="0.25">
      <c r="B35" t="s">
        <v>70</v>
      </c>
      <c r="D35" s="35"/>
      <c r="E35" s="35">
        <f>'Ostali troškovi'!D7</f>
        <v>528000</v>
      </c>
      <c r="F35" s="35">
        <f>'Ostali troškovi'!D7</f>
        <v>528000</v>
      </c>
      <c r="G35" s="35">
        <f>'Ostali troškovi'!D7</f>
        <v>528000</v>
      </c>
      <c r="H35" s="35">
        <f>'Ostali troškovi'!D7</f>
        <v>528000</v>
      </c>
      <c r="I35" s="35">
        <f>'Ostali troškovi'!D7</f>
        <v>528000</v>
      </c>
    </row>
    <row r="36" spans="2:9" x14ac:dyDescent="0.25">
      <c r="B36" t="s">
        <v>71</v>
      </c>
      <c r="D36" s="35"/>
      <c r="E36" s="35">
        <f>C77</f>
        <v>110464</v>
      </c>
      <c r="F36" s="35">
        <f>D77</f>
        <v>110988.20000000001</v>
      </c>
      <c r="G36" s="35">
        <f t="shared" ref="G36:I36" si="2">E77</f>
        <v>111533.6</v>
      </c>
      <c r="H36" s="35">
        <f t="shared" si="2"/>
        <v>112101.20000000001</v>
      </c>
      <c r="I36" s="35">
        <f t="shared" si="2"/>
        <v>112691.8</v>
      </c>
    </row>
    <row r="37" spans="2:9" x14ac:dyDescent="0.25">
      <c r="B37" s="50" t="s">
        <v>72</v>
      </c>
      <c r="C37" s="50"/>
      <c r="D37" s="49">
        <f>D26-D31</f>
        <v>-926344</v>
      </c>
      <c r="E37" s="49">
        <f t="shared" ref="E37:I37" si="3">E26-E31</f>
        <v>496596</v>
      </c>
      <c r="F37" s="49">
        <f t="shared" si="3"/>
        <v>496071.80000000005</v>
      </c>
      <c r="G37" s="49">
        <f t="shared" si="3"/>
        <v>495526.39999999991</v>
      </c>
      <c r="H37" s="49">
        <f t="shared" si="3"/>
        <v>494958.80000000005</v>
      </c>
      <c r="I37" s="49">
        <f t="shared" si="3"/>
        <v>1212212.2</v>
      </c>
    </row>
    <row r="38" spans="2:9" x14ac:dyDescent="0.25">
      <c r="B38" s="50" t="s">
        <v>73</v>
      </c>
      <c r="C38" s="50"/>
      <c r="D38" s="49">
        <f>D37</f>
        <v>-926344</v>
      </c>
      <c r="E38" s="49">
        <f>E37+Table8[[#This Row],[GODINE:]]</f>
        <v>-429748</v>
      </c>
      <c r="F38" s="49">
        <f>F37+Table8[[#This Row],[Column6]]</f>
        <v>66323.800000000047</v>
      </c>
      <c r="G38" s="49">
        <f>G37+Table8[[#This Row],[Column7]]</f>
        <v>561850.19999999995</v>
      </c>
      <c r="H38" s="49">
        <f>H37+Table8[[#This Row],[Column8]]</f>
        <v>1056809</v>
      </c>
      <c r="I38" s="49">
        <f>I37+Table8[[#This Row],[Column9]]</f>
        <v>2269021.2000000002</v>
      </c>
    </row>
    <row r="39" spans="2:9" x14ac:dyDescent="0.25">
      <c r="B39" s="1"/>
    </row>
    <row r="41" spans="2:9" ht="18.75" x14ac:dyDescent="0.3">
      <c r="D41" t="s">
        <v>159</v>
      </c>
    </row>
    <row r="42" spans="2:9" x14ac:dyDescent="0.25">
      <c r="B42" t="s">
        <v>59</v>
      </c>
      <c r="C42" t="s">
        <v>60</v>
      </c>
      <c r="D42" t="s">
        <v>0</v>
      </c>
      <c r="E42" t="s">
        <v>3</v>
      </c>
      <c r="F42" t="s">
        <v>30</v>
      </c>
      <c r="G42" t="s">
        <v>54</v>
      </c>
      <c r="H42" t="s">
        <v>55</v>
      </c>
    </row>
    <row r="43" spans="2:9" ht="16.5" customHeight="1" x14ac:dyDescent="0.25">
      <c r="B43" s="1"/>
      <c r="C43" s="7" t="s">
        <v>100</v>
      </c>
      <c r="D43" s="7" t="s">
        <v>130</v>
      </c>
      <c r="E43" s="7" t="s">
        <v>184</v>
      </c>
      <c r="F43" s="7" t="s">
        <v>185</v>
      </c>
      <c r="G43" s="7" t="s">
        <v>186</v>
      </c>
      <c r="H43" s="7" t="s">
        <v>187</v>
      </c>
    </row>
    <row r="44" spans="2:9" x14ac:dyDescent="0.25">
      <c r="C44" s="5">
        <v>0</v>
      </c>
      <c r="D44" s="5">
        <v>1</v>
      </c>
      <c r="E44" s="5">
        <v>2</v>
      </c>
      <c r="F44" s="5">
        <v>3</v>
      </c>
      <c r="G44" s="5">
        <v>4</v>
      </c>
      <c r="H44" s="5">
        <v>5</v>
      </c>
    </row>
    <row r="45" spans="2:9" x14ac:dyDescent="0.25">
      <c r="B45" t="s">
        <v>61</v>
      </c>
      <c r="C45" s="35">
        <f>C46+C47+C50</f>
        <v>925000</v>
      </c>
      <c r="D45" s="34">
        <f>F9</f>
        <v>1879750</v>
      </c>
      <c r="E45" s="34">
        <f>Table9[[#This Row],[Column1]]</f>
        <v>1879750</v>
      </c>
      <c r="F45" s="34">
        <f>Table9[[#This Row],[Column4]]</f>
        <v>1879750</v>
      </c>
      <c r="G45" s="34">
        <f>Table9[[#This Row],[Column5]]</f>
        <v>1879750</v>
      </c>
      <c r="H45" s="34">
        <f>H46+H47+H50</f>
        <v>3315438</v>
      </c>
    </row>
    <row r="46" spans="2:9" x14ac:dyDescent="0.25">
      <c r="B46" t="s">
        <v>75</v>
      </c>
      <c r="D46" s="34">
        <f>D45</f>
        <v>1879750</v>
      </c>
      <c r="E46" s="34">
        <f>E45</f>
        <v>1879750</v>
      </c>
      <c r="F46" s="34">
        <f t="shared" ref="F46:G46" si="4">F45</f>
        <v>1879750</v>
      </c>
      <c r="G46" s="34">
        <f t="shared" si="4"/>
        <v>1879750</v>
      </c>
      <c r="H46" s="34">
        <f>I26</f>
        <v>2597594</v>
      </c>
    </row>
    <row r="47" spans="2:9" x14ac:dyDescent="0.25">
      <c r="B47" t="s">
        <v>194</v>
      </c>
      <c r="C47" s="35">
        <f>J13</f>
        <v>925000</v>
      </c>
    </row>
    <row r="48" spans="2:9" x14ac:dyDescent="0.25">
      <c r="B48" s="48" t="s">
        <v>76</v>
      </c>
      <c r="C48" s="49">
        <v>575000</v>
      </c>
      <c r="D48" s="50"/>
      <c r="E48" s="50"/>
      <c r="F48" s="50"/>
      <c r="G48" s="50"/>
      <c r="H48" s="50"/>
    </row>
    <row r="49" spans="2:8" x14ac:dyDescent="0.25">
      <c r="B49" t="s">
        <v>77</v>
      </c>
      <c r="C49" s="35">
        <v>350000</v>
      </c>
    </row>
    <row r="50" spans="2:8" x14ac:dyDescent="0.25">
      <c r="B50" t="s">
        <v>78</v>
      </c>
      <c r="H50" s="35">
        <f>H51+H52</f>
        <v>717844</v>
      </c>
    </row>
    <row r="51" spans="2:8" x14ac:dyDescent="0.25">
      <c r="B51" t="s">
        <v>193</v>
      </c>
      <c r="H51" s="35">
        <f>Q12</f>
        <v>716500</v>
      </c>
    </row>
    <row r="52" spans="2:8" x14ac:dyDescent="0.25">
      <c r="B52" t="s">
        <v>79</v>
      </c>
      <c r="H52" s="35">
        <v>1344</v>
      </c>
    </row>
    <row r="53" spans="2:8" x14ac:dyDescent="0.25">
      <c r="B53" s="50" t="s">
        <v>80</v>
      </c>
      <c r="C53" s="49">
        <f>C54+C55+C56+C57+C58+C59</f>
        <v>925000</v>
      </c>
      <c r="D53" s="51">
        <f>SUM(D56:D59)</f>
        <v>1460736</v>
      </c>
      <c r="E53" s="51">
        <f>SUM(E56:E59)</f>
        <v>1461259.2</v>
      </c>
      <c r="F53" s="51">
        <f>SUM(F56:F59)</f>
        <v>1461804.6</v>
      </c>
      <c r="G53" s="51">
        <f>SUM(G56:G59)</f>
        <v>1462372.2</v>
      </c>
      <c r="H53" s="51">
        <f>SUM(H56:H59)</f>
        <v>1462962.8</v>
      </c>
    </row>
    <row r="54" spans="2:8" x14ac:dyDescent="0.25">
      <c r="B54" s="53" t="s">
        <v>81</v>
      </c>
      <c r="C54" s="54">
        <f>C47</f>
        <v>925000</v>
      </c>
      <c r="D54" s="55">
        <v>0</v>
      </c>
      <c r="E54" s="55">
        <v>0</v>
      </c>
      <c r="F54" s="55">
        <v>0</v>
      </c>
      <c r="G54" s="55">
        <v>0</v>
      </c>
      <c r="H54" s="55">
        <v>0</v>
      </c>
    </row>
    <row r="55" spans="2:8" x14ac:dyDescent="0.25">
      <c r="B55" s="6" t="s">
        <v>82</v>
      </c>
      <c r="C55" s="35"/>
      <c r="D55">
        <v>0</v>
      </c>
      <c r="E55">
        <v>0</v>
      </c>
      <c r="F55">
        <v>0</v>
      </c>
      <c r="G55">
        <v>0</v>
      </c>
      <c r="H55">
        <v>0</v>
      </c>
    </row>
    <row r="56" spans="2:8" x14ac:dyDescent="0.25">
      <c r="B56" t="s">
        <v>83</v>
      </c>
      <c r="D56" s="35">
        <f>E34</f>
        <v>744690</v>
      </c>
      <c r="E56" s="35">
        <f t="shared" ref="E56:H56" si="5">F34</f>
        <v>744690</v>
      </c>
      <c r="F56" s="35">
        <f t="shared" si="5"/>
        <v>744690</v>
      </c>
      <c r="G56" s="35">
        <f t="shared" si="5"/>
        <v>744690</v>
      </c>
      <c r="H56" s="35">
        <f t="shared" si="5"/>
        <v>744690</v>
      </c>
    </row>
    <row r="57" spans="2:8" x14ac:dyDescent="0.25">
      <c r="B57" t="s">
        <v>84</v>
      </c>
      <c r="D57" s="35">
        <f>E35</f>
        <v>528000</v>
      </c>
      <c r="E57" s="35">
        <f t="shared" ref="E57:H57" si="6">F35</f>
        <v>528000</v>
      </c>
      <c r="F57" s="35">
        <f t="shared" si="6"/>
        <v>528000</v>
      </c>
      <c r="G57" s="35">
        <f t="shared" si="6"/>
        <v>528000</v>
      </c>
      <c r="H57" s="35">
        <f t="shared" si="6"/>
        <v>528000</v>
      </c>
    </row>
    <row r="58" spans="2:8" x14ac:dyDescent="0.25">
      <c r="B58" s="1" t="s">
        <v>85</v>
      </c>
      <c r="C58" s="1"/>
      <c r="D58" s="34">
        <f>E36</f>
        <v>110464</v>
      </c>
      <c r="E58" s="34">
        <f t="shared" ref="E58:H58" si="7">F36</f>
        <v>110988.20000000001</v>
      </c>
      <c r="F58" s="34">
        <f t="shared" si="7"/>
        <v>111533.6</v>
      </c>
      <c r="G58" s="34">
        <f t="shared" si="7"/>
        <v>112101.20000000001</v>
      </c>
      <c r="H58" s="34">
        <f t="shared" si="7"/>
        <v>112691.8</v>
      </c>
    </row>
    <row r="59" spans="2:8" x14ac:dyDescent="0.25">
      <c r="B59" t="s">
        <v>86</v>
      </c>
      <c r="D59" s="35">
        <f>'Otpl-anuiteta Q'!J31</f>
        <v>77582</v>
      </c>
      <c r="E59" s="35">
        <f>'Otpl-anuiteta Q'!K31</f>
        <v>77581</v>
      </c>
      <c r="F59" s="35">
        <f>'Otpl-anuiteta Q'!L31</f>
        <v>77581</v>
      </c>
      <c r="G59" s="35">
        <f>'Otpl-anuiteta Q'!M31</f>
        <v>77581</v>
      </c>
      <c r="H59" s="35">
        <f>'Otpl-anuiteta Q'!N31</f>
        <v>77581</v>
      </c>
    </row>
    <row r="60" spans="2:8" x14ac:dyDescent="0.25">
      <c r="B60" s="48" t="s">
        <v>72</v>
      </c>
      <c r="C60" s="49">
        <f t="shared" ref="C60:H60" si="8">C45-C53</f>
        <v>0</v>
      </c>
      <c r="D60" s="51">
        <f>D45-D53</f>
        <v>419014</v>
      </c>
      <c r="E60" s="51">
        <f t="shared" si="8"/>
        <v>418490.80000000005</v>
      </c>
      <c r="F60" s="51">
        <f t="shared" si="8"/>
        <v>417945.39999999991</v>
      </c>
      <c r="G60" s="51">
        <f t="shared" si="8"/>
        <v>417377.80000000005</v>
      </c>
      <c r="H60" s="51">
        <f>H45-H53</f>
        <v>1852475.2</v>
      </c>
    </row>
    <row r="61" spans="2:8" x14ac:dyDescent="0.25">
      <c r="B61" s="56" t="s">
        <v>87</v>
      </c>
      <c r="C61" s="57">
        <v>0</v>
      </c>
      <c r="D61" s="58">
        <f>D60+Table9[[#This Row],[GODINE:]]</f>
        <v>419014</v>
      </c>
      <c r="E61" s="58">
        <f>E60+Table9[[#This Row],[Column1]]</f>
        <v>837504.8</v>
      </c>
      <c r="F61" s="58">
        <f>F60+Table9[[#This Row],[Column4]]</f>
        <v>1255450.2</v>
      </c>
      <c r="G61" s="58">
        <f>G60+Table9[[#This Row],[Column5]]</f>
        <v>1672828</v>
      </c>
      <c r="H61" s="58">
        <f>H60+Table9[[#This Row],[Column6]]</f>
        <v>3525303.2</v>
      </c>
    </row>
    <row r="63" spans="2:8" ht="18.75" x14ac:dyDescent="0.3">
      <c r="D63" s="4" t="s">
        <v>156</v>
      </c>
    </row>
    <row r="64" spans="2:8" x14ac:dyDescent="0.25">
      <c r="B64" t="s">
        <v>0</v>
      </c>
      <c r="C64" t="s">
        <v>1</v>
      </c>
      <c r="D64" t="s">
        <v>2</v>
      </c>
      <c r="E64" t="s">
        <v>3</v>
      </c>
      <c r="F64" t="s">
        <v>30</v>
      </c>
      <c r="G64" t="s">
        <v>54</v>
      </c>
    </row>
    <row r="65" spans="2:8" x14ac:dyDescent="0.25">
      <c r="B65" s="1" t="s">
        <v>88</v>
      </c>
      <c r="C65" s="15" t="s">
        <v>130</v>
      </c>
      <c r="D65" s="15" t="s">
        <v>184</v>
      </c>
      <c r="E65" s="15" t="s">
        <v>185</v>
      </c>
      <c r="F65" s="15" t="s">
        <v>186</v>
      </c>
      <c r="G65" s="15" t="s">
        <v>187</v>
      </c>
      <c r="H65" s="2"/>
    </row>
    <row r="66" spans="2:8" x14ac:dyDescent="0.25">
      <c r="B66" t="s">
        <v>89</v>
      </c>
      <c r="C66" s="35">
        <f>F9</f>
        <v>1879750</v>
      </c>
      <c r="D66" s="35">
        <f>Table10[[#This Row],[Column2]]</f>
        <v>1879750</v>
      </c>
      <c r="E66" s="35">
        <f>Table10[[#This Row],[Column3]]</f>
        <v>1879750</v>
      </c>
      <c r="F66" s="35">
        <f>Table10[[#This Row],[Column4]]</f>
        <v>1879750</v>
      </c>
      <c r="G66" s="35">
        <f>Table10[[#This Row],[Column5]]</f>
        <v>1879750</v>
      </c>
      <c r="H66" s="2"/>
    </row>
    <row r="67" spans="2:8" x14ac:dyDescent="0.25">
      <c r="B67" t="s">
        <v>90</v>
      </c>
      <c r="C67" s="35">
        <f>SUM(C68:C71)</f>
        <v>1272690</v>
      </c>
      <c r="D67" s="35">
        <f>SUM(D68:D71)</f>
        <v>1272690</v>
      </c>
      <c r="E67" s="35">
        <f>SUM(E68:E71)</f>
        <v>1272690</v>
      </c>
      <c r="F67" s="35">
        <f>SUM(F68:F71)</f>
        <v>1272690</v>
      </c>
      <c r="G67" s="35">
        <f>SUM(G68:G71)</f>
        <v>1272690</v>
      </c>
      <c r="H67" s="2"/>
    </row>
    <row r="68" spans="2:8" x14ac:dyDescent="0.25">
      <c r="B68" t="s">
        <v>91</v>
      </c>
      <c r="C68" s="35">
        <v>637290</v>
      </c>
      <c r="D68" s="35">
        <v>637290</v>
      </c>
      <c r="E68" s="35">
        <v>637290</v>
      </c>
      <c r="F68" s="35">
        <v>637290</v>
      </c>
      <c r="G68" s="35">
        <v>637290</v>
      </c>
      <c r="H68" s="2"/>
    </row>
    <row r="69" spans="2:8" x14ac:dyDescent="0.25">
      <c r="B69" t="s">
        <v>92</v>
      </c>
      <c r="C69" s="35">
        <v>95400</v>
      </c>
      <c r="D69" s="35">
        <v>95400</v>
      </c>
      <c r="E69" s="35">
        <v>95400</v>
      </c>
      <c r="F69" s="35">
        <v>95400</v>
      </c>
      <c r="G69" s="35">
        <v>95400</v>
      </c>
      <c r="H69" s="2"/>
    </row>
    <row r="70" spans="2:8" x14ac:dyDescent="0.25">
      <c r="B70" t="s">
        <v>93</v>
      </c>
      <c r="C70" s="35">
        <v>12000</v>
      </c>
      <c r="D70" s="35">
        <v>12000</v>
      </c>
      <c r="E70" s="35">
        <v>12000</v>
      </c>
      <c r="F70" s="35">
        <v>12000</v>
      </c>
      <c r="G70" s="35">
        <v>12000</v>
      </c>
      <c r="H70" s="2"/>
    </row>
    <row r="71" spans="2:8" x14ac:dyDescent="0.25">
      <c r="B71" t="s">
        <v>94</v>
      </c>
      <c r="C71" s="35">
        <f>'Ostali troškovi'!D7</f>
        <v>528000</v>
      </c>
      <c r="D71" s="35">
        <v>528000</v>
      </c>
      <c r="E71" s="35">
        <v>528000</v>
      </c>
      <c r="F71" s="35">
        <v>528000</v>
      </c>
      <c r="G71" s="35">
        <v>528000</v>
      </c>
      <c r="H71" s="2"/>
    </row>
    <row r="72" spans="2:8" x14ac:dyDescent="0.25">
      <c r="B72" t="s">
        <v>95</v>
      </c>
      <c r="C72" s="35">
        <f>C66-C67</f>
        <v>607060</v>
      </c>
      <c r="D72" s="35">
        <f>D66-D67</f>
        <v>607060</v>
      </c>
      <c r="E72" s="35">
        <f t="shared" ref="E72:G72" si="9">E66-E67</f>
        <v>607060</v>
      </c>
      <c r="F72" s="35">
        <f t="shared" si="9"/>
        <v>607060</v>
      </c>
      <c r="G72" s="35">
        <f t="shared" si="9"/>
        <v>607060</v>
      </c>
      <c r="H72" s="2"/>
    </row>
    <row r="73" spans="2:8" x14ac:dyDescent="0.25">
      <c r="C73" s="35"/>
      <c r="D73" s="35"/>
      <c r="E73" s="35"/>
      <c r="F73" s="35"/>
      <c r="G73" s="35"/>
      <c r="H73" s="2"/>
    </row>
    <row r="74" spans="2:8" x14ac:dyDescent="0.25">
      <c r="B74" t="s">
        <v>96</v>
      </c>
      <c r="C74" s="35">
        <f>L11</f>
        <v>41700</v>
      </c>
      <c r="D74" s="35">
        <f t="shared" ref="D74:G74" si="10">M11</f>
        <v>41700</v>
      </c>
      <c r="E74" s="35">
        <f t="shared" si="10"/>
        <v>41700</v>
      </c>
      <c r="F74" s="35">
        <f t="shared" si="10"/>
        <v>41700</v>
      </c>
      <c r="G74" s="35">
        <f t="shared" si="10"/>
        <v>41700</v>
      </c>
      <c r="H74" s="2"/>
    </row>
    <row r="75" spans="2:8" x14ac:dyDescent="0.25">
      <c r="B75" t="s">
        <v>97</v>
      </c>
      <c r="C75" s="35">
        <f>'Otpl-anuiteta Q'!J30</f>
        <v>13040</v>
      </c>
      <c r="D75" s="35">
        <f>'Otpl-anuiteta Q'!K30</f>
        <v>10419</v>
      </c>
      <c r="E75" s="35">
        <f>'Otpl-anuiteta Q'!L30</f>
        <v>7692</v>
      </c>
      <c r="F75" s="35">
        <f>'Otpl-anuiteta Q'!M30</f>
        <v>4854</v>
      </c>
      <c r="G75" s="35">
        <f>'Otpl-anuiteta Q'!N30</f>
        <v>1901</v>
      </c>
      <c r="H75" s="2"/>
    </row>
    <row r="76" spans="2:8" x14ac:dyDescent="0.25">
      <c r="B76" t="s">
        <v>98</v>
      </c>
      <c r="C76" s="35">
        <f>C72-C74-C75</f>
        <v>552320</v>
      </c>
      <c r="D76" s="35">
        <f>D72-D74-D75</f>
        <v>554941</v>
      </c>
      <c r="E76" s="35">
        <f>E72-E74-E75</f>
        <v>557668</v>
      </c>
      <c r="F76" s="35">
        <f>F72-F74-F75</f>
        <v>560506</v>
      </c>
      <c r="G76" s="35">
        <f>G72-G74-G75</f>
        <v>563459</v>
      </c>
      <c r="H76" s="2"/>
    </row>
    <row r="77" spans="2:8" x14ac:dyDescent="0.25">
      <c r="B77" t="s">
        <v>192</v>
      </c>
      <c r="C77" s="35">
        <f>C76*0.2</f>
        <v>110464</v>
      </c>
      <c r="D77" s="35">
        <f>D76*0.2</f>
        <v>110988.20000000001</v>
      </c>
      <c r="E77" s="35">
        <f>E76*0.2</f>
        <v>111533.6</v>
      </c>
      <c r="F77" s="35">
        <f>F76*0.2</f>
        <v>112101.20000000001</v>
      </c>
      <c r="G77" s="35">
        <f>G76*0.2</f>
        <v>112691.8</v>
      </c>
      <c r="H77" s="2"/>
    </row>
    <row r="78" spans="2:8" x14ac:dyDescent="0.25">
      <c r="B78" s="1" t="s">
        <v>99</v>
      </c>
      <c r="C78" s="35">
        <f>C76-C77</f>
        <v>441856</v>
      </c>
      <c r="D78" s="35">
        <f>D76-D77</f>
        <v>443952.8</v>
      </c>
      <c r="E78" s="35">
        <f>E76-E77</f>
        <v>446134.4</v>
      </c>
      <c r="F78" s="35">
        <f>F76-F77</f>
        <v>448404.8</v>
      </c>
      <c r="G78" s="35">
        <f>G76-G77</f>
        <v>450767.2</v>
      </c>
      <c r="H78" s="2"/>
    </row>
    <row r="80" spans="2:8" x14ac:dyDescent="0.25">
      <c r="E80" s="30" t="s">
        <v>112</v>
      </c>
      <c r="F80" s="8"/>
    </row>
    <row r="81" spans="2:11" ht="28.5" x14ac:dyDescent="0.25">
      <c r="B81" t="s">
        <v>0</v>
      </c>
      <c r="C81" t="s">
        <v>1</v>
      </c>
      <c r="E81" t="s">
        <v>109</v>
      </c>
      <c r="F81" t="s">
        <v>110</v>
      </c>
      <c r="G81" t="s">
        <v>111</v>
      </c>
      <c r="I81" s="59" t="s">
        <v>201</v>
      </c>
      <c r="J81" s="59" t="s">
        <v>202</v>
      </c>
      <c r="K81" s="59" t="s">
        <v>203</v>
      </c>
    </row>
    <row r="82" spans="2:11" x14ac:dyDescent="0.25">
      <c r="B82" s="1" t="s">
        <v>155</v>
      </c>
      <c r="C82" s="34">
        <f>SUM(C83:C86)</f>
        <v>614706</v>
      </c>
      <c r="E82" s="7">
        <v>0</v>
      </c>
      <c r="F82" s="34">
        <f>D37</f>
        <v>-926344</v>
      </c>
      <c r="G82" s="34">
        <f>D38</f>
        <v>-926344</v>
      </c>
      <c r="I82" s="60">
        <v>0.04</v>
      </c>
      <c r="J82" s="61">
        <f>1/((1+$I$82)^E82)</f>
        <v>1</v>
      </c>
      <c r="K82" s="62">
        <f>J82*F82</f>
        <v>-926344</v>
      </c>
    </row>
    <row r="83" spans="2:11" x14ac:dyDescent="0.25">
      <c r="B83" s="1" t="s">
        <v>200</v>
      </c>
      <c r="C83" s="34">
        <f>L11</f>
        <v>41700</v>
      </c>
      <c r="E83" s="5">
        <v>1</v>
      </c>
      <c r="F83" s="35">
        <f>E37</f>
        <v>496596</v>
      </c>
      <c r="G83" s="35">
        <f>E38</f>
        <v>-429748</v>
      </c>
      <c r="I83" s="63"/>
      <c r="J83" s="61">
        <f t="shared" ref="J82:J87" si="11">1/((1+$I$82)^E83)</f>
        <v>0.96153846153846145</v>
      </c>
      <c r="K83" s="64">
        <f t="shared" ref="K82:K87" si="12">J83*F83</f>
        <v>477496.15384615381</v>
      </c>
    </row>
    <row r="84" spans="2:11" ht="15.75" customHeight="1" x14ac:dyDescent="0.25">
      <c r="B84" t="s">
        <v>101</v>
      </c>
      <c r="C84" s="35">
        <f>'Ostali troškovi'!D7</f>
        <v>528000</v>
      </c>
      <c r="E84" s="5">
        <v>2</v>
      </c>
      <c r="F84" s="35">
        <f>F37</f>
        <v>496071.80000000005</v>
      </c>
      <c r="G84" s="35">
        <f>F38</f>
        <v>66323.800000000047</v>
      </c>
      <c r="I84" s="63"/>
      <c r="J84" s="61">
        <f t="shared" si="11"/>
        <v>0.92455621301775137</v>
      </c>
      <c r="K84" s="64">
        <f t="shared" si="12"/>
        <v>458646.26479289943</v>
      </c>
    </row>
    <row r="85" spans="2:11" ht="15" customHeight="1" x14ac:dyDescent="0.25">
      <c r="B85" t="s">
        <v>102</v>
      </c>
      <c r="C85" s="35">
        <f>'Otpl-anuiteta Q'!O30</f>
        <v>41406</v>
      </c>
      <c r="E85" s="5">
        <v>3</v>
      </c>
      <c r="F85" s="35">
        <f>G37</f>
        <v>495526.39999999991</v>
      </c>
      <c r="G85" s="35">
        <f>G38</f>
        <v>561850.19999999995</v>
      </c>
      <c r="I85" s="63"/>
      <c r="J85" s="61">
        <f t="shared" si="11"/>
        <v>0.88899635867091487</v>
      </c>
      <c r="K85" s="64">
        <f t="shared" si="12"/>
        <v>440521.16522530717</v>
      </c>
    </row>
    <row r="86" spans="2:11" ht="15.75" customHeight="1" x14ac:dyDescent="0.25">
      <c r="B86" t="s">
        <v>103</v>
      </c>
      <c r="C86" s="35">
        <f>'Ostali troškovi'!B19* 0.3</f>
        <v>3600</v>
      </c>
      <c r="E86" s="7">
        <v>4</v>
      </c>
      <c r="F86" s="34">
        <f>H37</f>
        <v>494958.80000000005</v>
      </c>
      <c r="G86" s="34">
        <f>H38</f>
        <v>1056809</v>
      </c>
      <c r="I86" s="63"/>
      <c r="J86" s="61">
        <f t="shared" si="11"/>
        <v>0.85480419102972571</v>
      </c>
      <c r="K86" s="64">
        <f t="shared" si="12"/>
        <v>423092.85662704386</v>
      </c>
    </row>
    <row r="87" spans="2:11" x14ac:dyDescent="0.25">
      <c r="B87" s="8" t="s">
        <v>108</v>
      </c>
      <c r="C87" s="35">
        <f>SUM(C88:C90)</f>
        <v>741090</v>
      </c>
      <c r="E87" s="7">
        <v>5</v>
      </c>
      <c r="F87" s="34">
        <f>I37</f>
        <v>1212212.2</v>
      </c>
      <c r="G87" s="34">
        <f>I38</f>
        <v>2269021.2000000002</v>
      </c>
      <c r="I87" s="63"/>
      <c r="J87" s="61">
        <f t="shared" si="11"/>
        <v>0.82192710675935154</v>
      </c>
      <c r="K87" s="64">
        <f t="shared" si="12"/>
        <v>996350.06632438838</v>
      </c>
    </row>
    <row r="88" spans="2:11" x14ac:dyDescent="0.25">
      <c r="B88" t="s">
        <v>104</v>
      </c>
      <c r="C88" s="35">
        <v>637290</v>
      </c>
      <c r="E88" s="5"/>
      <c r="I88" s="65" t="s">
        <v>204</v>
      </c>
      <c r="J88" s="65"/>
      <c r="K88" s="66">
        <f>ROUND(SUM(K82:K87),0)</f>
        <v>1869763</v>
      </c>
    </row>
    <row r="89" spans="2:11" x14ac:dyDescent="0.25">
      <c r="B89" t="s">
        <v>105</v>
      </c>
      <c r="C89" s="35">
        <v>95400</v>
      </c>
      <c r="E89" s="30" t="s">
        <v>113</v>
      </c>
      <c r="F89" s="8"/>
      <c r="I89" s="63"/>
      <c r="J89" s="61"/>
      <c r="K89" s="64"/>
    </row>
    <row r="90" spans="2:11" x14ac:dyDescent="0.25">
      <c r="B90" t="s">
        <v>106</v>
      </c>
      <c r="C90" s="35">
        <f>C70*0.7</f>
        <v>8400</v>
      </c>
      <c r="E90" t="s">
        <v>181</v>
      </c>
      <c r="F90" t="s">
        <v>182</v>
      </c>
      <c r="G90" t="s">
        <v>183</v>
      </c>
      <c r="I90" s="67" t="s">
        <v>205</v>
      </c>
      <c r="J90" s="68">
        <f>IRR($D$37:$I$37)</f>
        <v>0.51888188906520361</v>
      </c>
      <c r="K90" s="1"/>
    </row>
    <row r="91" spans="2:11" x14ac:dyDescent="0.25">
      <c r="B91" s="8" t="s">
        <v>107</v>
      </c>
      <c r="C91" s="35">
        <f>SUM(C82+C87)</f>
        <v>1355796</v>
      </c>
      <c r="E91" s="7">
        <v>0</v>
      </c>
      <c r="F91" s="1">
        <v>0</v>
      </c>
      <c r="G91" s="1">
        <v>0</v>
      </c>
    </row>
    <row r="92" spans="2:11" ht="15" customHeight="1" x14ac:dyDescent="0.25">
      <c r="B92" s="1"/>
      <c r="C92" s="1"/>
      <c r="E92" s="5">
        <v>1</v>
      </c>
      <c r="F92" s="40">
        <f>D60</f>
        <v>419014</v>
      </c>
      <c r="G92" s="40">
        <f>D61</f>
        <v>419014</v>
      </c>
      <c r="I92" s="59" t="s">
        <v>201</v>
      </c>
      <c r="J92" s="59" t="s">
        <v>202</v>
      </c>
      <c r="K92" s="59" t="s">
        <v>203</v>
      </c>
    </row>
    <row r="93" spans="2:11" ht="15.2" customHeight="1" x14ac:dyDescent="0.25">
      <c r="E93" s="5">
        <v>2</v>
      </c>
      <c r="F93" s="40">
        <f>E60</f>
        <v>418490.80000000005</v>
      </c>
      <c r="G93" s="40">
        <f>E61</f>
        <v>837504.8</v>
      </c>
      <c r="I93" s="69">
        <f>J90</f>
        <v>0.51888188906520361</v>
      </c>
      <c r="J93" s="61">
        <f>1/((1+$I$93)^E82)</f>
        <v>1</v>
      </c>
      <c r="K93" s="64">
        <f>J93*F82</f>
        <v>-926344</v>
      </c>
    </row>
    <row r="94" spans="2:11" x14ac:dyDescent="0.25">
      <c r="E94" s="5">
        <v>3</v>
      </c>
      <c r="F94" s="40">
        <f>F60</f>
        <v>417945.39999999991</v>
      </c>
      <c r="G94" s="40">
        <f>F61</f>
        <v>1255450.2</v>
      </c>
      <c r="I94" s="70"/>
      <c r="J94" s="61">
        <f t="shared" ref="J93:J98" si="13">1/((1+$I$93)^E83)</f>
        <v>0.65837904000254444</v>
      </c>
      <c r="K94" s="64">
        <f t="shared" ref="K93:K98" si="14">J94*F83</f>
        <v>326948.39774910355</v>
      </c>
    </row>
    <row r="95" spans="2:11" x14ac:dyDescent="0.25">
      <c r="E95" s="7">
        <v>4</v>
      </c>
      <c r="F95" s="47">
        <f>G60</f>
        <v>417377.80000000005</v>
      </c>
      <c r="G95" s="47">
        <f>G61</f>
        <v>1672828</v>
      </c>
      <c r="I95" s="70"/>
      <c r="J95" s="61">
        <f t="shared" si="13"/>
        <v>0.43346296031467207</v>
      </c>
      <c r="K95" s="64">
        <f t="shared" si="14"/>
        <v>215028.75095662798</v>
      </c>
    </row>
    <row r="96" spans="2:11" x14ac:dyDescent="0.25">
      <c r="E96" s="7">
        <v>5</v>
      </c>
      <c r="F96" s="47">
        <f>H60</f>
        <v>1852475.2</v>
      </c>
      <c r="G96" s="47">
        <f>H61</f>
        <v>3525303.2</v>
      </c>
      <c r="I96" s="70"/>
      <c r="J96" s="61">
        <f t="shared" si="13"/>
        <v>0.28538292768863482</v>
      </c>
      <c r="K96" s="64">
        <f t="shared" si="14"/>
        <v>141414.77477900952</v>
      </c>
    </row>
    <row r="97" spans="5:11" x14ac:dyDescent="0.25">
      <c r="I97" s="70"/>
      <c r="J97" s="61">
        <f t="shared" si="13"/>
        <v>0.18789013796475898</v>
      </c>
      <c r="K97" s="64">
        <f t="shared" si="14"/>
        <v>92997.877218871552</v>
      </c>
    </row>
    <row r="98" spans="5:11" x14ac:dyDescent="0.25">
      <c r="I98" s="70"/>
      <c r="J98" s="61">
        <f t="shared" si="13"/>
        <v>0.12370292865918366</v>
      </c>
      <c r="K98" s="64">
        <f t="shared" si="14"/>
        <v>149954.19929639206</v>
      </c>
    </row>
    <row r="99" spans="5:11" x14ac:dyDescent="0.25">
      <c r="I99" s="65" t="s">
        <v>204</v>
      </c>
      <c r="J99" s="65"/>
      <c r="K99" s="64">
        <f>ROUND(SUM(K93:K98),0)</f>
        <v>0</v>
      </c>
    </row>
    <row r="102" spans="5:11" ht="28.5" x14ac:dyDescent="0.25">
      <c r="E102" s="59" t="s">
        <v>201</v>
      </c>
      <c r="F102" s="59" t="s">
        <v>202</v>
      </c>
      <c r="G102" s="59" t="s">
        <v>203</v>
      </c>
      <c r="H102" s="59" t="s">
        <v>206</v>
      </c>
      <c r="I102" s="59" t="s">
        <v>207</v>
      </c>
      <c r="J102" s="59" t="s">
        <v>208</v>
      </c>
    </row>
    <row r="103" spans="5:11" x14ac:dyDescent="0.25">
      <c r="E103" s="71">
        <v>0.51</v>
      </c>
      <c r="F103" s="61">
        <f t="shared" ref="F103:F108" si="15">1/((1+$E$103)^E82)</f>
        <v>1</v>
      </c>
      <c r="G103" s="64">
        <f>Table20[[#This Row],[Diskontni faktor]]*F82</f>
        <v>-926344</v>
      </c>
      <c r="H103" s="71">
        <v>0.52</v>
      </c>
      <c r="I103" s="61">
        <f t="shared" ref="I103:I108" si="16">1/((1+$H$103)^E82)</f>
        <v>1</v>
      </c>
      <c r="J103" s="64">
        <f t="shared" ref="J103:J108" si="17">I103*F82</f>
        <v>-926344</v>
      </c>
    </row>
    <row r="104" spans="5:11" x14ac:dyDescent="0.25">
      <c r="E104" s="70"/>
      <c r="F104" s="61">
        <f t="shared" si="15"/>
        <v>0.66225165562913912</v>
      </c>
      <c r="G104" s="64">
        <f>F104*F83</f>
        <v>328871.52317880798</v>
      </c>
      <c r="H104" s="70"/>
      <c r="I104" s="61">
        <f t="shared" si="16"/>
        <v>0.65789473684210531</v>
      </c>
      <c r="J104" s="64">
        <f t="shared" si="17"/>
        <v>326707.89473684214</v>
      </c>
    </row>
    <row r="105" spans="5:11" x14ac:dyDescent="0.25">
      <c r="E105" s="70"/>
      <c r="F105" s="61">
        <f t="shared" si="15"/>
        <v>0.43857725538353581</v>
      </c>
      <c r="G105" s="64">
        <f>F105*F84</f>
        <v>217565.80851717031</v>
      </c>
      <c r="H105" s="70"/>
      <c r="I105" s="61">
        <f t="shared" si="16"/>
        <v>0.43282548476454291</v>
      </c>
      <c r="J105" s="64">
        <f t="shared" si="17"/>
        <v>214712.5173130194</v>
      </c>
    </row>
    <row r="106" spans="5:11" x14ac:dyDescent="0.25">
      <c r="E106" s="70"/>
      <c r="F106" s="61">
        <f t="shared" si="15"/>
        <v>0.29044851349903034</v>
      </c>
      <c r="G106" s="64">
        <f>F106*F85</f>
        <v>143924.90627952587</v>
      </c>
      <c r="H106" s="70"/>
      <c r="I106" s="61">
        <f t="shared" si="16"/>
        <v>0.28475360839772562</v>
      </c>
      <c r="J106" s="64">
        <f t="shared" si="17"/>
        <v>141102.93045633473</v>
      </c>
    </row>
    <row r="107" spans="5:11" x14ac:dyDescent="0.25">
      <c r="E107" s="70"/>
      <c r="F107" s="61">
        <f t="shared" si="15"/>
        <v>0.19235000893975518</v>
      </c>
      <c r="G107" s="64">
        <f>F107*F86</f>
        <v>95205.329604810511</v>
      </c>
      <c r="H107" s="70"/>
      <c r="I107" s="61">
        <f t="shared" si="16"/>
        <v>0.18733790026166158</v>
      </c>
      <c r="J107" s="64">
        <f t="shared" si="17"/>
        <v>92724.542308031712</v>
      </c>
    </row>
    <row r="108" spans="5:11" x14ac:dyDescent="0.25">
      <c r="E108" s="70"/>
      <c r="F108" s="61">
        <f t="shared" si="15"/>
        <v>0.12738411188063259</v>
      </c>
      <c r="G108" s="64">
        <f>F108*F87</f>
        <v>154416.57450786777</v>
      </c>
      <c r="H108" s="70"/>
      <c r="I108" s="61">
        <f t="shared" si="16"/>
        <v>0.12324861859319841</v>
      </c>
      <c r="J108" s="64">
        <f t="shared" si="17"/>
        <v>149403.47909182194</v>
      </c>
    </row>
    <row r="109" spans="5:11" x14ac:dyDescent="0.25">
      <c r="E109" s="65" t="s">
        <v>204</v>
      </c>
      <c r="F109" s="65"/>
      <c r="G109" s="64">
        <f>ROUND(SUM(G103:G108),0)</f>
        <v>13640</v>
      </c>
      <c r="H109" s="65" t="s">
        <v>204</v>
      </c>
      <c r="I109" s="65"/>
      <c r="J109" s="64">
        <f>ROUND(SUM(J103:J108),0)</f>
        <v>-1693</v>
      </c>
    </row>
  </sheetData>
  <mergeCells count="2">
    <mergeCell ref="C1:D1"/>
    <mergeCell ref="C11:D1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xcel.Sheet.12" shapeId="1025" r:id="rId4">
          <objectPr defaultSize="0" autoPict="0" r:id="rId5">
            <anchor moveWithCells="1" sizeWithCells="1">
              <from>
                <xdr:col>0</xdr:col>
                <xdr:colOff>476250</xdr:colOff>
                <xdr:row>92</xdr:row>
                <xdr:rowOff>66675</xdr:rowOff>
              </from>
              <to>
                <xdr:col>4</xdr:col>
                <xdr:colOff>1104900</xdr:colOff>
                <xdr:row>96</xdr:row>
                <xdr:rowOff>47625</xdr:rowOff>
              </to>
            </anchor>
          </objectPr>
        </oleObject>
      </mc:Choice>
      <mc:Fallback>
        <oleObject progId="Excel.Sheet.12" shapeId="1025" r:id="rId4"/>
      </mc:Fallback>
    </mc:AlternateContent>
    <mc:AlternateContent xmlns:mc="http://schemas.openxmlformats.org/markup-compatibility/2006">
      <mc:Choice Requires="x14">
        <oleObject progId="Excel.Sheet.12" shapeId="1026" r:id="rId6">
          <objectPr defaultSize="0" autoPict="0" r:id="rId7">
            <anchor moveWithCells="1" sizeWithCells="1">
              <from>
                <xdr:col>0</xdr:col>
                <xdr:colOff>485775</xdr:colOff>
                <xdr:row>96</xdr:row>
                <xdr:rowOff>133350</xdr:rowOff>
              </from>
              <to>
                <xdr:col>3</xdr:col>
                <xdr:colOff>885825</xdr:colOff>
                <xdr:row>99</xdr:row>
                <xdr:rowOff>123825</xdr:rowOff>
              </to>
            </anchor>
          </objectPr>
        </oleObject>
      </mc:Choice>
      <mc:Fallback>
        <oleObject progId="Excel.Sheet.12" shapeId="1026" r:id="rId6"/>
      </mc:Fallback>
    </mc:AlternateContent>
  </oleObjects>
  <tableParts count="11"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workbookViewId="0">
      <selection activeCell="B2" sqref="B2:D17"/>
    </sheetView>
  </sheetViews>
  <sheetFormatPr defaultRowHeight="15" x14ac:dyDescent="0.25"/>
  <cols>
    <col min="2" max="2" width="32.7109375" customWidth="1"/>
    <col min="3" max="3" width="19.85546875" customWidth="1"/>
    <col min="4" max="4" width="14.28515625" customWidth="1"/>
  </cols>
  <sheetData>
    <row r="2" spans="2:7" x14ac:dyDescent="0.25">
      <c r="B2" s="17" t="s">
        <v>178</v>
      </c>
      <c r="C2" s="18" t="s">
        <v>0</v>
      </c>
      <c r="D2" t="s">
        <v>1</v>
      </c>
    </row>
    <row r="3" spans="2:7" x14ac:dyDescent="0.25">
      <c r="B3" s="5" t="s">
        <v>114</v>
      </c>
      <c r="C3" s="14"/>
      <c r="D3" s="9"/>
    </row>
    <row r="4" spans="2:7" x14ac:dyDescent="0.25">
      <c r="D4" s="2"/>
    </row>
    <row r="5" spans="2:7" x14ac:dyDescent="0.25">
      <c r="B5" t="s">
        <v>115</v>
      </c>
      <c r="C5" s="32">
        <f>D7+D11-D15</f>
        <v>1344.2739726027394</v>
      </c>
      <c r="D5" s="2"/>
    </row>
    <row r="6" spans="2:7" x14ac:dyDescent="0.25">
      <c r="D6" s="2"/>
    </row>
    <row r="7" spans="2:7" x14ac:dyDescent="0.25">
      <c r="B7" t="s">
        <v>195</v>
      </c>
      <c r="D7" s="35">
        <f>C8*C9/365</f>
        <v>5150</v>
      </c>
      <c r="G7" s="14"/>
    </row>
    <row r="8" spans="2:7" x14ac:dyDescent="0.25">
      <c r="B8" t="s">
        <v>116</v>
      </c>
      <c r="C8" s="34">
        <f>'Tijekovi,predpostavke,troškovi'!F9</f>
        <v>1879750</v>
      </c>
      <c r="D8" s="2"/>
    </row>
    <row r="9" spans="2:7" x14ac:dyDescent="0.25">
      <c r="B9" t="s">
        <v>117</v>
      </c>
      <c r="C9">
        <v>1</v>
      </c>
      <c r="D9" s="2"/>
    </row>
    <row r="10" spans="2:7" x14ac:dyDescent="0.25">
      <c r="D10" s="2"/>
    </row>
    <row r="11" spans="2:7" x14ac:dyDescent="0.25">
      <c r="B11" t="s">
        <v>196</v>
      </c>
      <c r="D11" s="35">
        <f>C12*C13/365</f>
        <v>10476</v>
      </c>
    </row>
    <row r="12" spans="2:7" x14ac:dyDescent="0.25">
      <c r="B12" t="s">
        <v>118</v>
      </c>
      <c r="C12" s="35">
        <f>'Tijekovi,predpostavke,troškovi'!F21</f>
        <v>637290</v>
      </c>
      <c r="D12" s="2"/>
    </row>
    <row r="13" spans="2:7" x14ac:dyDescent="0.25">
      <c r="B13" t="s">
        <v>119</v>
      </c>
      <c r="C13">
        <v>6</v>
      </c>
      <c r="D13" s="2"/>
    </row>
    <row r="14" spans="2:7" x14ac:dyDescent="0.25">
      <c r="D14" s="2"/>
    </row>
    <row r="15" spans="2:7" ht="30" x14ac:dyDescent="0.25">
      <c r="B15" s="16" t="s">
        <v>197</v>
      </c>
      <c r="D15" s="36">
        <f>C16*C17/365</f>
        <v>14281.726027397261</v>
      </c>
    </row>
    <row r="16" spans="2:7" x14ac:dyDescent="0.25">
      <c r="B16" t="s">
        <v>120</v>
      </c>
      <c r="C16" s="35">
        <f>SUM('Tijekovi,predpostavke,troškovi'!C68:C70)</f>
        <v>744690</v>
      </c>
      <c r="D16" s="2"/>
    </row>
    <row r="17" spans="2:4" x14ac:dyDescent="0.25">
      <c r="B17" s="1" t="s">
        <v>121</v>
      </c>
      <c r="C17">
        <v>7</v>
      </c>
      <c r="D17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"/>
  <sheetViews>
    <sheetView topLeftCell="D13" workbookViewId="0"/>
  </sheetViews>
  <sheetFormatPr defaultRowHeight="15" x14ac:dyDescent="0.25"/>
  <cols>
    <col min="1" max="1" width="16.5703125" customWidth="1"/>
    <col min="2" max="2" width="16.28515625" customWidth="1"/>
    <col min="3" max="3" width="15.7109375" customWidth="1"/>
    <col min="4" max="5" width="16.42578125" customWidth="1"/>
    <col min="8" max="8" width="17" customWidth="1"/>
    <col min="9" max="9" width="17.85546875" customWidth="1"/>
    <col min="10" max="10" width="17.28515625" customWidth="1"/>
    <col min="11" max="11" width="22.7109375" customWidth="1"/>
    <col min="12" max="12" width="16.5703125" customWidth="1"/>
    <col min="13" max="13" width="11.42578125" customWidth="1"/>
    <col min="14" max="14" width="12" customWidth="1"/>
    <col min="15" max="15" width="12.85546875" customWidth="1"/>
    <col min="16" max="16" width="12.140625" customWidth="1"/>
    <col min="17" max="17" width="12.28515625" customWidth="1"/>
    <col min="18" max="18" width="11.42578125" customWidth="1"/>
    <col min="19" max="19" width="13" customWidth="1"/>
  </cols>
  <sheetData>
    <row r="2" spans="1:5" x14ac:dyDescent="0.25">
      <c r="A2" t="s">
        <v>122</v>
      </c>
      <c r="B2" s="5" t="s">
        <v>138</v>
      </c>
      <c r="C2" t="s">
        <v>140</v>
      </c>
    </row>
    <row r="3" spans="1:5" x14ac:dyDescent="0.25">
      <c r="A3" s="1"/>
      <c r="B3" s="5"/>
    </row>
    <row r="4" spans="1:5" x14ac:dyDescent="0.25">
      <c r="A4" t="s">
        <v>102</v>
      </c>
      <c r="B4" s="13" t="s">
        <v>176</v>
      </c>
      <c r="C4" s="32">
        <v>4</v>
      </c>
    </row>
    <row r="5" spans="1:5" ht="31.5" customHeight="1" x14ac:dyDescent="0.25">
      <c r="A5" t="s">
        <v>123</v>
      </c>
      <c r="B5" s="5" t="s">
        <v>123</v>
      </c>
      <c r="C5" s="32">
        <v>5</v>
      </c>
    </row>
    <row r="6" spans="1:5" x14ac:dyDescent="0.25">
      <c r="A6" t="s">
        <v>124</v>
      </c>
      <c r="B6" s="5" t="s">
        <v>139</v>
      </c>
      <c r="C6" s="32">
        <v>20</v>
      </c>
    </row>
    <row r="7" spans="1:5" x14ac:dyDescent="0.25">
      <c r="A7" s="5" t="s">
        <v>125</v>
      </c>
      <c r="B7" s="5" t="s">
        <v>125</v>
      </c>
      <c r="C7" s="32">
        <f>1+(C4/4)/100</f>
        <v>1.01</v>
      </c>
    </row>
    <row r="8" spans="1:5" x14ac:dyDescent="0.25">
      <c r="A8" s="1" t="s">
        <v>126</v>
      </c>
      <c r="B8" s="5" t="s">
        <v>126</v>
      </c>
      <c r="C8" s="32">
        <f>C2*(POWER(C7,C6)*(C7-1))/(POWER(C7,C6)-1)</f>
        <v>19395.360211692983</v>
      </c>
    </row>
    <row r="14" spans="1:5" x14ac:dyDescent="0.25">
      <c r="A14" t="s">
        <v>134</v>
      </c>
      <c r="B14" t="s">
        <v>127</v>
      </c>
      <c r="C14" t="s">
        <v>102</v>
      </c>
      <c r="D14" t="s">
        <v>128</v>
      </c>
      <c r="E14" t="s">
        <v>129</v>
      </c>
    </row>
    <row r="15" spans="1:5" x14ac:dyDescent="0.25">
      <c r="A15" s="1" t="s">
        <v>100</v>
      </c>
      <c r="C15" s="2"/>
      <c r="D15" s="2"/>
    </row>
    <row r="16" spans="1:5" x14ac:dyDescent="0.25">
      <c r="C16" s="2"/>
      <c r="D16" s="2"/>
    </row>
    <row r="17" spans="1:15" x14ac:dyDescent="0.25">
      <c r="C17" s="2"/>
      <c r="D17" s="2"/>
      <c r="H17" t="s">
        <v>131</v>
      </c>
      <c r="I17" t="s">
        <v>132</v>
      </c>
      <c r="J17" t="s">
        <v>133</v>
      </c>
    </row>
    <row r="18" spans="1:15" x14ac:dyDescent="0.25">
      <c r="B18" s="32"/>
      <c r="C18" s="32">
        <f>Table16[[#This Row],[Ostatak duga]]*(C7-1)</f>
        <v>3500.0000000000032</v>
      </c>
      <c r="D18" s="32"/>
      <c r="E18" s="32">
        <v>350000</v>
      </c>
      <c r="H18" s="1"/>
      <c r="I18" s="1"/>
      <c r="J18" s="1"/>
    </row>
    <row r="19" spans="1:15" x14ac:dyDescent="0.25">
      <c r="A19" t="s">
        <v>130</v>
      </c>
      <c r="B19" s="32">
        <f>C8</f>
        <v>19395.360211692983</v>
      </c>
      <c r="C19" s="32">
        <f>C18</f>
        <v>3500.0000000000032</v>
      </c>
      <c r="D19" s="32">
        <f>Table16[[#This Row],[Anuitet]]-Table16[[#This Row],[Kamate]]</f>
        <v>15895.36021169298</v>
      </c>
      <c r="E19" s="32">
        <f>E18-Table16[[#This Row],[Otplatna kvota]]</f>
        <v>334104.63978830702</v>
      </c>
      <c r="H19" t="s">
        <v>100</v>
      </c>
      <c r="I19" s="32">
        <f>C18</f>
        <v>3500.0000000000032</v>
      </c>
      <c r="J19" s="32">
        <v>0</v>
      </c>
    </row>
    <row r="20" spans="1:15" x14ac:dyDescent="0.25">
      <c r="B20" s="32">
        <f>B19</f>
        <v>19395.360211692983</v>
      </c>
      <c r="C20" s="32">
        <f>E19*(C7-1)</f>
        <v>3341.046397883073</v>
      </c>
      <c r="D20" s="32">
        <f>Table16[[#This Row],[Anuitet]]-Table16[[#This Row],[Kamate]]</f>
        <v>16054.313813809909</v>
      </c>
      <c r="E20" s="32">
        <f>E19-Table16[[#This Row],[Otplatna kvota]]</f>
        <v>318050.32597449713</v>
      </c>
      <c r="H20" t="s">
        <v>130</v>
      </c>
      <c r="I20" s="32">
        <f>SUM(C19:C22)</f>
        <v>13039.904347853542</v>
      </c>
      <c r="J20" s="32">
        <f>SUM(D19:D22)</f>
        <v>64541.536498918387</v>
      </c>
    </row>
    <row r="21" spans="1:15" x14ac:dyDescent="0.25">
      <c r="B21" s="32">
        <f t="shared" ref="B21:B37" si="0">B20</f>
        <v>19395.360211692983</v>
      </c>
      <c r="C21" s="32">
        <f>E20*(C7-1)</f>
        <v>3180.503259744974</v>
      </c>
      <c r="D21" s="32">
        <f>Table16[[#This Row],[Anuitet]]-Table16[[#This Row],[Kamate]]</f>
        <v>16214.85695194801</v>
      </c>
      <c r="E21" s="32">
        <f>E20-Table16[[#This Row],[Otplatna kvota]]</f>
        <v>301835.46902254911</v>
      </c>
      <c r="H21" t="s">
        <v>184</v>
      </c>
      <c r="I21" s="32">
        <f>SUM(C23:C26)</f>
        <v>10419.259154436095</v>
      </c>
      <c r="J21" s="32">
        <f>SUM(D23:D26)</f>
        <v>67162.181692335842</v>
      </c>
    </row>
    <row r="22" spans="1:15" x14ac:dyDescent="0.25">
      <c r="B22" s="32">
        <f t="shared" si="0"/>
        <v>19395.360211692983</v>
      </c>
      <c r="C22" s="32">
        <f>E21*(C7-1)</f>
        <v>3018.3546902254939</v>
      </c>
      <c r="D22" s="32">
        <f>Table16[[#This Row],[Anuitet]]-Table16[[#This Row],[Kamate]]</f>
        <v>16377.00552146749</v>
      </c>
      <c r="E22" s="32">
        <f>E21-Table16[[#This Row],[Otplatna kvota]]</f>
        <v>285458.46350108163</v>
      </c>
      <c r="H22" t="s">
        <v>185</v>
      </c>
      <c r="I22" s="32">
        <f>SUM(C27:C30)</f>
        <v>7692.2052573786705</v>
      </c>
      <c r="J22" s="32">
        <f>SUM(D27:D30)</f>
        <v>69889.235589393254</v>
      </c>
    </row>
    <row r="23" spans="1:15" x14ac:dyDescent="0.25">
      <c r="A23" t="s">
        <v>184</v>
      </c>
      <c r="B23" s="32">
        <f t="shared" si="0"/>
        <v>19395.360211692983</v>
      </c>
      <c r="C23" s="32">
        <f>E22*(C7-1)</f>
        <v>2854.5846350108186</v>
      </c>
      <c r="D23" s="32">
        <f>Table16[[#This Row],[Anuitet]]-Table16[[#This Row],[Kamate]]</f>
        <v>16540.775576682165</v>
      </c>
      <c r="E23" s="32">
        <f>E22-Table16[[#This Row],[Otplatna kvota]]</f>
        <v>268917.68792439945</v>
      </c>
      <c r="H23" t="s">
        <v>186</v>
      </c>
      <c r="I23" s="32">
        <f>SUM(C31:C34)</f>
        <v>4854.4220366145873</v>
      </c>
      <c r="J23" s="32">
        <f>SUM(D31:D34)</f>
        <v>72727.018810157344</v>
      </c>
    </row>
    <row r="24" spans="1:15" x14ac:dyDescent="0.25">
      <c r="B24" s="32">
        <f t="shared" si="0"/>
        <v>19395.360211692983</v>
      </c>
      <c r="C24" s="32">
        <f>E23*(C7-1)</f>
        <v>2689.1768792439971</v>
      </c>
      <c r="D24" s="32">
        <f>Table16[[#This Row],[Anuitet]]-Table16[[#This Row],[Kamate]]</f>
        <v>16706.183332448985</v>
      </c>
      <c r="E24" s="32">
        <f>E23-Table16[[#This Row],[Otplatna kvota]]</f>
        <v>252211.50459195045</v>
      </c>
      <c r="H24" t="s">
        <v>187</v>
      </c>
      <c r="I24" s="32">
        <f>SUM(C35:C38)</f>
        <v>1901.4134375767674</v>
      </c>
      <c r="J24" s="32">
        <f>SUM(D35:D38)</f>
        <v>75680.027409195172</v>
      </c>
    </row>
    <row r="25" spans="1:15" x14ac:dyDescent="0.25">
      <c r="B25" s="32">
        <f t="shared" si="0"/>
        <v>19395.360211692983</v>
      </c>
      <c r="C25" s="32">
        <f>E24*(C7-1)</f>
        <v>2522.1150459195069</v>
      </c>
      <c r="D25" s="32">
        <f>Table16[[#This Row],[Anuitet]]-Table16[[#This Row],[Kamate]]</f>
        <v>16873.245165773478</v>
      </c>
      <c r="E25" s="32">
        <f>E24-Table16[[#This Row],[Otplatna kvota]]</f>
        <v>235338.25942617696</v>
      </c>
      <c r="H25" s="1" t="s">
        <v>29</v>
      </c>
      <c r="I25" s="33">
        <f>SUM(I19:I24)</f>
        <v>41407.204233859666</v>
      </c>
      <c r="J25" s="33">
        <f>SUM(J20:J24)</f>
        <v>350000</v>
      </c>
    </row>
    <row r="26" spans="1:15" x14ac:dyDescent="0.25">
      <c r="B26" s="32">
        <f t="shared" si="0"/>
        <v>19395.360211692983</v>
      </c>
      <c r="C26" s="32">
        <f>E25*(C7-1)</f>
        <v>2353.3825942617718</v>
      </c>
      <c r="D26" s="32">
        <f>Table16[[#This Row],[Anuitet]]-Table16[[#This Row],[Kamate]]</f>
        <v>17041.97761743121</v>
      </c>
      <c r="E26" s="32">
        <f>E25-Table16[[#This Row],[Otplatna kvota]]</f>
        <v>218296.28180874576</v>
      </c>
    </row>
    <row r="27" spans="1:15" x14ac:dyDescent="0.25">
      <c r="A27" t="s">
        <v>185</v>
      </c>
      <c r="B27" s="32">
        <f t="shared" si="0"/>
        <v>19395.360211692983</v>
      </c>
      <c r="C27" s="32">
        <f>E26*(C7-1)</f>
        <v>2182.9628180874597</v>
      </c>
      <c r="D27" s="32">
        <f>Table16[[#This Row],[Anuitet]]-Table16[[#This Row],[Kamate]]</f>
        <v>17212.397393605523</v>
      </c>
      <c r="E27" s="32">
        <f>E26-Table16[[#This Row],[Otplatna kvota]]</f>
        <v>201083.88441514023</v>
      </c>
    </row>
    <row r="28" spans="1:15" x14ac:dyDescent="0.25">
      <c r="B28" s="32">
        <f t="shared" si="0"/>
        <v>19395.360211692983</v>
      </c>
      <c r="C28" s="32">
        <f>E27*(C7-1)</f>
        <v>2010.8388441514041</v>
      </c>
      <c r="D28" s="32">
        <f>Table16[[#This Row],[Anuitet]]-Table16[[#This Row],[Kamate]]</f>
        <v>17384.52136754158</v>
      </c>
      <c r="E28" s="32">
        <f>E27-Table16[[#This Row],[Otplatna kvota]]</f>
        <v>183699.36304759866</v>
      </c>
      <c r="H28" s="35" t="s">
        <v>135</v>
      </c>
      <c r="I28" s="35" t="s">
        <v>100</v>
      </c>
      <c r="J28" s="35" t="s">
        <v>130</v>
      </c>
      <c r="K28" s="35" t="s">
        <v>184</v>
      </c>
      <c r="L28" s="35" t="s">
        <v>185</v>
      </c>
      <c r="M28" s="35" t="s">
        <v>186</v>
      </c>
      <c r="N28" s="35" t="s">
        <v>187</v>
      </c>
      <c r="O28" s="35" t="s">
        <v>29</v>
      </c>
    </row>
    <row r="29" spans="1:15" x14ac:dyDescent="0.25">
      <c r="B29" s="32">
        <f t="shared" si="0"/>
        <v>19395.360211692983</v>
      </c>
      <c r="C29" s="32">
        <f>E28*(C7-1)</f>
        <v>1836.9936304759883</v>
      </c>
      <c r="D29" s="32">
        <f>Table16[[#This Row],[Anuitet]]-Table16[[#This Row],[Kamate]]</f>
        <v>17558.366581216997</v>
      </c>
      <c r="E29" s="32">
        <f>E28-Table16[[#This Row],[Otplatna kvota]]</f>
        <v>166140.99646638165</v>
      </c>
      <c r="H29" s="34" t="s">
        <v>136</v>
      </c>
      <c r="I29" s="35">
        <v>0</v>
      </c>
      <c r="J29" s="35">
        <f>ROUND(J20,0)</f>
        <v>64542</v>
      </c>
      <c r="K29" s="35">
        <f>ROUND(J21,0)</f>
        <v>67162</v>
      </c>
      <c r="L29" s="35">
        <f t="shared" ref="L29" si="1">ROUND(J22,0)</f>
        <v>69889</v>
      </c>
      <c r="M29" s="35">
        <f t="shared" ref="M29" si="2">ROUND(J23,0)</f>
        <v>72727</v>
      </c>
      <c r="N29" s="35">
        <f t="shared" ref="N29" si="3">ROUND(J24,0)</f>
        <v>75680</v>
      </c>
      <c r="O29" s="35">
        <f>SUM(Table18[[#This Row],[2013.]:[2018.]])</f>
        <v>350000</v>
      </c>
    </row>
    <row r="30" spans="1:15" x14ac:dyDescent="0.25">
      <c r="B30" s="32">
        <f t="shared" si="0"/>
        <v>19395.360211692983</v>
      </c>
      <c r="C30" s="32">
        <f>E29*(C7-1)</f>
        <v>1661.4099646638181</v>
      </c>
      <c r="D30" s="32">
        <f>Table16[[#This Row],[Anuitet]]-Table16[[#This Row],[Kamate]]</f>
        <v>17733.950247029166</v>
      </c>
      <c r="E30" s="32">
        <f>E29-Table16[[#This Row],[Otplatna kvota]]</f>
        <v>148407.04621935249</v>
      </c>
      <c r="H30" s="35" t="s">
        <v>137</v>
      </c>
      <c r="I30" s="35">
        <f>ROUND(I19,0)</f>
        <v>3500</v>
      </c>
      <c r="J30" s="35">
        <f>ROUND(I20,0)</f>
        <v>13040</v>
      </c>
      <c r="K30" s="35">
        <f>ROUND(I21,0)</f>
        <v>10419</v>
      </c>
      <c r="L30" s="35">
        <f>ROUND(I22,0)</f>
        <v>7692</v>
      </c>
      <c r="M30" s="35">
        <f>ROUND(I23,0)</f>
        <v>4854</v>
      </c>
      <c r="N30" s="35">
        <f>ROUND(I24,0)</f>
        <v>1901</v>
      </c>
      <c r="O30" s="35">
        <f>SUM(Table18[[#This Row],[2013.]:[2018.]])</f>
        <v>41406</v>
      </c>
    </row>
    <row r="31" spans="1:15" x14ac:dyDescent="0.25">
      <c r="A31" t="s">
        <v>186</v>
      </c>
      <c r="B31" s="32">
        <f t="shared" si="0"/>
        <v>19395.360211692983</v>
      </c>
      <c r="C31" s="32">
        <f>E30*(C7-1)</f>
        <v>1484.0704621935263</v>
      </c>
      <c r="D31" s="32">
        <f>Table16[[#This Row],[Anuitet]]-Table16[[#This Row],[Kamate]]</f>
        <v>17911.289749499458</v>
      </c>
      <c r="E31" s="32">
        <f>E30-Table16[[#This Row],[Otplatna kvota]]</f>
        <v>130495.75646985303</v>
      </c>
      <c r="H31" s="34" t="s">
        <v>29</v>
      </c>
      <c r="I31" s="35">
        <f>SUM(I29:I30)</f>
        <v>3500</v>
      </c>
      <c r="J31" s="35">
        <f>SUM(J29:J30)</f>
        <v>77582</v>
      </c>
      <c r="K31" s="35">
        <f t="shared" ref="K31:N31" si="4">SUM(K29:K30)</f>
        <v>77581</v>
      </c>
      <c r="L31" s="35">
        <f t="shared" si="4"/>
        <v>77581</v>
      </c>
      <c r="M31" s="35">
        <f t="shared" si="4"/>
        <v>77581</v>
      </c>
      <c r="N31" s="35">
        <f t="shared" si="4"/>
        <v>77581</v>
      </c>
      <c r="O31" s="35">
        <f>SUM(O29:O30)</f>
        <v>391406</v>
      </c>
    </row>
    <row r="32" spans="1:15" x14ac:dyDescent="0.25">
      <c r="B32" s="32">
        <f t="shared" si="0"/>
        <v>19395.360211692983</v>
      </c>
      <c r="C32" s="32">
        <f>E31*(C7-1)</f>
        <v>1304.9575646985315</v>
      </c>
      <c r="D32" s="32">
        <f>Table16[[#This Row],[Anuitet]]-Table16[[#This Row],[Kamate]]</f>
        <v>18090.402646994451</v>
      </c>
      <c r="E32" s="32">
        <f>E31-Table16[[#This Row],[Otplatna kvota]]</f>
        <v>112405.35382285858</v>
      </c>
    </row>
    <row r="33" spans="1:7" x14ac:dyDescent="0.25">
      <c r="B33" s="32">
        <f t="shared" si="0"/>
        <v>19395.360211692983</v>
      </c>
      <c r="C33" s="32">
        <f>E32*(C7-1)</f>
        <v>1124.0535382285868</v>
      </c>
      <c r="D33" s="32">
        <f>Table16[[#This Row],[Anuitet]]-Table16[[#This Row],[Kamate]]</f>
        <v>18271.306673464398</v>
      </c>
      <c r="E33" s="32">
        <f>E32-Table16[[#This Row],[Otplatna kvota]]</f>
        <v>94134.047149394188</v>
      </c>
    </row>
    <row r="34" spans="1:7" x14ac:dyDescent="0.25">
      <c r="B34" s="32">
        <f t="shared" si="0"/>
        <v>19395.360211692983</v>
      </c>
      <c r="C34" s="32">
        <f>E33*(C7-1)</f>
        <v>941.34047149394269</v>
      </c>
      <c r="D34" s="32">
        <f>Table16[[#This Row],[Anuitet]]-Table16[[#This Row],[Kamate]]</f>
        <v>18454.019740199041</v>
      </c>
      <c r="E34" s="32">
        <f>E33-Table16[[#This Row],[Otplatna kvota]]</f>
        <v>75680.027409195143</v>
      </c>
      <c r="G34" t="s">
        <v>180</v>
      </c>
    </row>
    <row r="35" spans="1:7" x14ac:dyDescent="0.25">
      <c r="A35" t="s">
        <v>187</v>
      </c>
      <c r="B35" s="32">
        <f t="shared" si="0"/>
        <v>19395.360211692983</v>
      </c>
      <c r="C35" s="32">
        <f>E34*(C7-1)</f>
        <v>756.80027409195213</v>
      </c>
      <c r="D35" s="32">
        <f>Table16[[#This Row],[Anuitet]]-Table16[[#This Row],[Kamate]]</f>
        <v>18638.559937601032</v>
      </c>
      <c r="E35" s="32">
        <f>E34-Table16[[#This Row],[Otplatna kvota]]</f>
        <v>57041.467471594107</v>
      </c>
    </row>
    <row r="36" spans="1:7" x14ac:dyDescent="0.25">
      <c r="B36" s="32">
        <f t="shared" si="0"/>
        <v>19395.360211692983</v>
      </c>
      <c r="C36" s="32">
        <f>E35*(C7-1)</f>
        <v>570.4146747159416</v>
      </c>
      <c r="D36" s="32">
        <f>Table16[[#This Row],[Anuitet]]-Table16[[#This Row],[Kamate]]</f>
        <v>18824.94553697704</v>
      </c>
      <c r="E36" s="32">
        <f>E35-Table16[[#This Row],[Otplatna kvota]]</f>
        <v>38216.521934617063</v>
      </c>
    </row>
    <row r="37" spans="1:7" x14ac:dyDescent="0.25">
      <c r="B37" s="32">
        <f t="shared" si="0"/>
        <v>19395.360211692983</v>
      </c>
      <c r="C37" s="32">
        <f>E36*(C7-1)</f>
        <v>382.165219346171</v>
      </c>
      <c r="D37" s="32">
        <f>Table16[[#This Row],[Anuitet]]-Table16[[#This Row],[Kamate]]</f>
        <v>19013.194992346813</v>
      </c>
      <c r="E37" s="32">
        <f>E36-Table16[[#This Row],[Otplatna kvota]]</f>
        <v>19203.326942270251</v>
      </c>
    </row>
    <row r="38" spans="1:7" x14ac:dyDescent="0.25">
      <c r="B38" s="32">
        <f>B37</f>
        <v>19395.360211692983</v>
      </c>
      <c r="C38" s="32">
        <f>E37*(C7-1)</f>
        <v>192.03326942270269</v>
      </c>
      <c r="D38" s="32">
        <f>Table16[[#This Row],[Anuitet]]-Table16[[#This Row],[Kamate]]</f>
        <v>19203.32694227028</v>
      </c>
      <c r="E38" s="32">
        <f>E37-Table16[[#This Row],[Otplatna kvota]]</f>
        <v>-2.9103830456733704E-11</v>
      </c>
    </row>
    <row r="51" spans="1:1" x14ac:dyDescent="0.25">
      <c r="A51" s="1"/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1"/>
  <sheetViews>
    <sheetView topLeftCell="A2" workbookViewId="0">
      <selection activeCell="M2" sqref="M2"/>
    </sheetView>
  </sheetViews>
  <sheetFormatPr defaultRowHeight="15" x14ac:dyDescent="0.25"/>
  <cols>
    <col min="2" max="2" width="14.5703125" customWidth="1"/>
    <col min="3" max="3" width="2.5703125" customWidth="1"/>
    <col min="5" max="5" width="10.5703125" customWidth="1"/>
    <col min="6" max="6" width="2.28515625" customWidth="1"/>
    <col min="9" max="9" width="2.28515625" customWidth="1"/>
    <col min="10" max="10" width="14.28515625" customWidth="1"/>
  </cols>
  <sheetData>
    <row r="3" spans="1:12" ht="24" customHeight="1" x14ac:dyDescent="0.25">
      <c r="B3" s="74" t="s">
        <v>160</v>
      </c>
      <c r="D3" s="75" t="s">
        <v>162</v>
      </c>
      <c r="E3" s="75"/>
      <c r="G3" s="78">
        <f>'Tijekovi,predpostavke,troškovi'!$C$78</f>
        <v>441856</v>
      </c>
      <c r="H3" s="79"/>
    </row>
    <row r="4" spans="1:12" ht="12.95" customHeight="1" x14ac:dyDescent="0.25">
      <c r="A4" s="11" t="s">
        <v>171</v>
      </c>
      <c r="B4" s="74"/>
      <c r="C4" t="s">
        <v>161</v>
      </c>
      <c r="D4" s="6"/>
      <c r="E4" s="12"/>
      <c r="F4" t="s">
        <v>161</v>
      </c>
      <c r="I4" t="s">
        <v>161</v>
      </c>
      <c r="J4" s="32">
        <f>G3/G5</f>
        <v>0.4769891098771083</v>
      </c>
    </row>
    <row r="5" spans="1:12" ht="27.2" customHeight="1" x14ac:dyDescent="0.25">
      <c r="B5" s="74"/>
      <c r="D5" s="75" t="s">
        <v>163</v>
      </c>
      <c r="E5" s="75"/>
      <c r="G5" s="76">
        <f>'Tijekovi,predpostavke,troškovi'!$J$15</f>
        <v>926344</v>
      </c>
      <c r="H5" s="77"/>
      <c r="J5" s="32"/>
    </row>
    <row r="6" spans="1:12" ht="14.25" customHeight="1" x14ac:dyDescent="0.25">
      <c r="J6" s="32"/>
    </row>
    <row r="7" spans="1:12" ht="25.5" customHeight="1" x14ac:dyDescent="0.25">
      <c r="B7" s="74" t="s">
        <v>164</v>
      </c>
      <c r="D7" s="75" t="s">
        <v>62</v>
      </c>
      <c r="E7" s="75"/>
      <c r="G7" s="78">
        <f>'Tijekovi,predpostavke,troškovi'!$F$9</f>
        <v>1879750</v>
      </c>
      <c r="H7" s="79"/>
      <c r="J7" s="32"/>
    </row>
    <row r="8" spans="1:12" ht="12" customHeight="1" x14ac:dyDescent="0.25">
      <c r="A8" s="11" t="s">
        <v>172</v>
      </c>
      <c r="B8" s="74"/>
      <c r="C8" t="s">
        <v>161</v>
      </c>
      <c r="F8" t="s">
        <v>161</v>
      </c>
      <c r="I8" t="s">
        <v>161</v>
      </c>
      <c r="J8" s="32">
        <f>G7/G9</f>
        <v>2.029213769398841</v>
      </c>
      <c r="L8" s="10"/>
    </row>
    <row r="9" spans="1:12" ht="27.75" customHeight="1" x14ac:dyDescent="0.25">
      <c r="B9" s="74"/>
      <c r="D9" s="75" t="s">
        <v>163</v>
      </c>
      <c r="E9" s="75"/>
      <c r="G9" s="76">
        <f>G5</f>
        <v>926344</v>
      </c>
      <c r="H9" s="77"/>
      <c r="J9" s="32"/>
    </row>
    <row r="10" spans="1:12" x14ac:dyDescent="0.25">
      <c r="J10" s="32"/>
    </row>
    <row r="11" spans="1:12" ht="18" customHeight="1" x14ac:dyDescent="0.25">
      <c r="B11" s="74" t="s">
        <v>165</v>
      </c>
      <c r="D11" s="75" t="s">
        <v>166</v>
      </c>
      <c r="E11" s="75"/>
      <c r="G11" s="78">
        <f>G3+'Tijekovi,predpostavke,troškovi'!$L$11</f>
        <v>483556</v>
      </c>
      <c r="H11" s="79"/>
      <c r="J11" s="32"/>
    </row>
    <row r="12" spans="1:12" ht="12.95" customHeight="1" x14ac:dyDescent="0.25">
      <c r="A12" s="11" t="s">
        <v>173</v>
      </c>
      <c r="B12" s="74"/>
      <c r="C12" t="s">
        <v>161</v>
      </c>
      <c r="F12" t="s">
        <v>161</v>
      </c>
      <c r="I12" t="s">
        <v>161</v>
      </c>
      <c r="J12" s="32">
        <f>G11/G13</f>
        <v>0.52200478439974785</v>
      </c>
    </row>
    <row r="13" spans="1:12" ht="16.5" customHeight="1" x14ac:dyDescent="0.25">
      <c r="B13" s="74"/>
      <c r="D13" s="75" t="s">
        <v>163</v>
      </c>
      <c r="E13" s="75"/>
      <c r="G13" s="76">
        <f>G9</f>
        <v>926344</v>
      </c>
      <c r="H13" s="77"/>
      <c r="J13" s="32"/>
    </row>
    <row r="14" spans="1:12" x14ac:dyDescent="0.25">
      <c r="J14" s="32"/>
    </row>
    <row r="15" spans="1:12" ht="19.5" customHeight="1" x14ac:dyDescent="0.25">
      <c r="B15" s="74" t="s">
        <v>167</v>
      </c>
      <c r="D15" s="75" t="s">
        <v>168</v>
      </c>
      <c r="E15" s="75"/>
      <c r="G15" s="78">
        <f>G13</f>
        <v>926344</v>
      </c>
      <c r="H15" s="79"/>
      <c r="J15" s="32"/>
    </row>
    <row r="16" spans="1:12" ht="12" customHeight="1" x14ac:dyDescent="0.25">
      <c r="A16" s="11" t="s">
        <v>174</v>
      </c>
      <c r="B16" s="74"/>
      <c r="C16" t="s">
        <v>161</v>
      </c>
      <c r="F16" t="s">
        <v>161</v>
      </c>
      <c r="I16" t="s">
        <v>161</v>
      </c>
      <c r="J16" s="32">
        <f>G15/G17</f>
        <v>77195.333333333328</v>
      </c>
    </row>
    <row r="17" spans="1:10" ht="21.2" customHeight="1" x14ac:dyDescent="0.25">
      <c r="B17" s="74"/>
      <c r="D17" s="75" t="s">
        <v>11</v>
      </c>
      <c r="E17" s="75"/>
      <c r="G17" s="77">
        <f>'Ostali troškovi'!B7</f>
        <v>12</v>
      </c>
      <c r="H17" s="77"/>
      <c r="J17" s="32"/>
    </row>
    <row r="18" spans="1:10" x14ac:dyDescent="0.25">
      <c r="J18" s="32"/>
    </row>
    <row r="19" spans="1:10" ht="27.75" customHeight="1" x14ac:dyDescent="0.25">
      <c r="B19" s="74" t="s">
        <v>169</v>
      </c>
      <c r="D19" s="75" t="s">
        <v>170</v>
      </c>
      <c r="E19" s="75"/>
      <c r="G19" s="78">
        <f>'Tijekovi,predpostavke,troškovi'!J13</f>
        <v>925000</v>
      </c>
      <c r="H19" s="79"/>
      <c r="J19" s="32"/>
    </row>
    <row r="20" spans="1:10" ht="12" customHeight="1" x14ac:dyDescent="0.25">
      <c r="A20" s="11" t="s">
        <v>175</v>
      </c>
      <c r="B20" s="74"/>
      <c r="C20" t="s">
        <v>161</v>
      </c>
      <c r="F20" t="s">
        <v>161</v>
      </c>
      <c r="I20" t="s">
        <v>161</v>
      </c>
      <c r="J20" s="32">
        <f>G19/G21</f>
        <v>77083.333333333328</v>
      </c>
    </row>
    <row r="21" spans="1:10" ht="26.25" customHeight="1" x14ac:dyDescent="0.25">
      <c r="B21" s="74"/>
      <c r="D21" s="75" t="s">
        <v>11</v>
      </c>
      <c r="E21" s="75"/>
      <c r="G21" s="77">
        <f>G17</f>
        <v>12</v>
      </c>
      <c r="H21" s="77"/>
      <c r="J21" s="32"/>
    </row>
  </sheetData>
  <mergeCells count="25">
    <mergeCell ref="G19:H19"/>
    <mergeCell ref="G21:H21"/>
    <mergeCell ref="B19:B21"/>
    <mergeCell ref="D19:E19"/>
    <mergeCell ref="D21:E21"/>
    <mergeCell ref="G3:H3"/>
    <mergeCell ref="G5:H5"/>
    <mergeCell ref="G7:H7"/>
    <mergeCell ref="G9:H9"/>
    <mergeCell ref="G11:H11"/>
    <mergeCell ref="G13:H13"/>
    <mergeCell ref="G17:H17"/>
    <mergeCell ref="B11:B13"/>
    <mergeCell ref="D11:E11"/>
    <mergeCell ref="D13:E13"/>
    <mergeCell ref="B15:B17"/>
    <mergeCell ref="D15:E15"/>
    <mergeCell ref="D17:E17"/>
    <mergeCell ref="G15:H15"/>
    <mergeCell ref="B3:B5"/>
    <mergeCell ref="D3:E3"/>
    <mergeCell ref="D5:E5"/>
    <mergeCell ref="B7:B9"/>
    <mergeCell ref="D7:E7"/>
    <mergeCell ref="D9:E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Ostali troškovi</vt:lpstr>
      <vt:lpstr>Tijekovi,predpostavke,troškovi</vt:lpstr>
      <vt:lpstr>TOBS</vt:lpstr>
      <vt:lpstr>Otpl-anuiteta Q</vt:lpstr>
      <vt:lpstr>Pokazatelji</vt:lpstr>
      <vt:lpstr>'Tijekovi,predpostavke,troškovi'!_Toc322854855</vt:lpstr>
      <vt:lpstr>'Tijekovi,predpostavke,troškovi'!_Toc322854856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Tonka</dc:creator>
  <cp:lastModifiedBy>Antonija</cp:lastModifiedBy>
  <dcterms:created xsi:type="dcterms:W3CDTF">2014-05-31T15:02:07Z</dcterms:created>
  <dcterms:modified xsi:type="dcterms:W3CDTF">2018-02-13T10:37:48Z</dcterms:modified>
</cp:coreProperties>
</file>