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prant\Desktop\"/>
    </mc:Choice>
  </mc:AlternateContent>
  <xr:revisionPtr revIDLastSave="0" documentId="8_{2C780EC7-09C9-413E-9A4A-528089E04E0F}" xr6:coauthVersionLast="45" xr6:coauthVersionMax="45" xr10:uidLastSave="{00000000-0000-0000-0000-000000000000}"/>
  <bookViews>
    <workbookView xWindow="-110" yWindow="-110" windowWidth="19420" windowHeight="11020" activeTab="1" xr2:uid="{2D50A09F-3839-4194-83AC-A063D9E5E708}"/>
  </bookViews>
  <sheets>
    <sheet name="Audit plan" sheetId="1" r:id="rId1"/>
    <sheet name="ER_sheet" sheetId="2"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11" i="2" l="1"/>
  <c r="G114" i="2" s="1"/>
  <c r="G115" i="2" s="1"/>
  <c r="F111" i="2"/>
  <c r="F114" i="2" s="1"/>
  <c r="F115" i="2" s="1"/>
  <c r="E111" i="2"/>
  <c r="E114" i="2" s="1"/>
  <c r="E115" i="2" s="1"/>
  <c r="D111" i="2"/>
  <c r="D114" i="2" s="1"/>
  <c r="D115" i="2" s="1"/>
  <c r="C111" i="2"/>
  <c r="C114" i="2" s="1"/>
  <c r="G98" i="2"/>
  <c r="G113" i="2" s="1"/>
  <c r="G116" i="2" s="1"/>
  <c r="G117" i="2" s="1"/>
  <c r="G118" i="2" s="1"/>
  <c r="G119" i="2" s="1"/>
  <c r="F98" i="2"/>
  <c r="F113" i="2" s="1"/>
  <c r="E98" i="2"/>
  <c r="E113" i="2" s="1"/>
  <c r="D98" i="2"/>
  <c r="C98" i="2"/>
  <c r="G97" i="2"/>
  <c r="G112" i="2" s="1"/>
  <c r="F97" i="2"/>
  <c r="F112" i="2" s="1"/>
  <c r="E97" i="2"/>
  <c r="E112" i="2" s="1"/>
  <c r="D97" i="2"/>
  <c r="D112" i="2" s="1"/>
  <c r="C97" i="2"/>
  <c r="C112" i="2" s="1"/>
  <c r="M92" i="2"/>
  <c r="L92" i="2"/>
  <c r="M91" i="2"/>
  <c r="L91" i="2"/>
  <c r="M90" i="2"/>
  <c r="L90" i="2"/>
  <c r="M89" i="2"/>
  <c r="L89" i="2"/>
  <c r="M88" i="2"/>
  <c r="L88" i="2"/>
  <c r="M87" i="2"/>
  <c r="L87" i="2"/>
  <c r="M86" i="2"/>
  <c r="L86" i="2"/>
  <c r="M85" i="2"/>
  <c r="L85" i="2"/>
  <c r="M84" i="2"/>
  <c r="L84" i="2"/>
  <c r="M83" i="2"/>
  <c r="L83" i="2"/>
  <c r="M82" i="2"/>
  <c r="L82" i="2"/>
  <c r="M81" i="2"/>
  <c r="L81" i="2"/>
  <c r="M80" i="2"/>
  <c r="L80" i="2"/>
  <c r="M79" i="2"/>
  <c r="L79" i="2"/>
  <c r="M78" i="2"/>
  <c r="L78" i="2"/>
  <c r="G99" i="2" s="1"/>
  <c r="M77" i="2"/>
  <c r="L77" i="2"/>
  <c r="M76" i="2"/>
  <c r="L76" i="2"/>
  <c r="M75" i="2"/>
  <c r="L75" i="2"/>
  <c r="M74" i="2"/>
  <c r="L74" i="2"/>
  <c r="M73" i="2"/>
  <c r="L73" i="2"/>
  <c r="M72" i="2"/>
  <c r="L72" i="2"/>
  <c r="M71" i="2"/>
  <c r="L71" i="2"/>
  <c r="M70" i="2"/>
  <c r="L70" i="2"/>
  <c r="M69" i="2"/>
  <c r="L69" i="2"/>
  <c r="M68" i="2"/>
  <c r="L68" i="2"/>
  <c r="M67" i="2"/>
  <c r="L67" i="2"/>
  <c r="M66" i="2"/>
  <c r="L66" i="2"/>
  <c r="M65" i="2"/>
  <c r="L65" i="2"/>
  <c r="M64" i="2"/>
  <c r="L64" i="2"/>
  <c r="M63" i="2"/>
  <c r="L63" i="2"/>
  <c r="F99" i="2" s="1"/>
  <c r="M62" i="2"/>
  <c r="L62" i="2"/>
  <c r="M61" i="2"/>
  <c r="L61" i="2"/>
  <c r="M60" i="2"/>
  <c r="L60" i="2"/>
  <c r="M59" i="2"/>
  <c r="L59" i="2"/>
  <c r="M58" i="2"/>
  <c r="L58" i="2"/>
  <c r="M57" i="2"/>
  <c r="L57" i="2"/>
  <c r="M56" i="2"/>
  <c r="L56" i="2"/>
  <c r="M55" i="2"/>
  <c r="L55" i="2"/>
  <c r="M54" i="2"/>
  <c r="L54" i="2"/>
  <c r="M53" i="2"/>
  <c r="L53" i="2"/>
  <c r="M52" i="2"/>
  <c r="L52" i="2"/>
  <c r="M51" i="2"/>
  <c r="L51" i="2"/>
  <c r="M50" i="2"/>
  <c r="L50" i="2"/>
  <c r="M49" i="2"/>
  <c r="M48" i="2"/>
  <c r="L48" i="2"/>
  <c r="E99" i="2" s="1"/>
  <c r="M47" i="2"/>
  <c r="L47" i="2"/>
  <c r="M46" i="2"/>
  <c r="L46" i="2"/>
  <c r="M45" i="2"/>
  <c r="L45" i="2"/>
  <c r="M44" i="2"/>
  <c r="L44" i="2"/>
  <c r="M43" i="2"/>
  <c r="L43" i="2"/>
  <c r="M42" i="2"/>
  <c r="L42" i="2"/>
  <c r="M41" i="2"/>
  <c r="L41" i="2"/>
  <c r="M40" i="2"/>
  <c r="L40" i="2"/>
  <c r="M39" i="2"/>
  <c r="L39" i="2"/>
  <c r="M38" i="2"/>
  <c r="L38" i="2"/>
  <c r="M37" i="2"/>
  <c r="L37" i="2"/>
  <c r="M36" i="2"/>
  <c r="L36" i="2"/>
  <c r="M35" i="2"/>
  <c r="L35" i="2"/>
  <c r="M34" i="2"/>
  <c r="L34" i="2"/>
  <c r="M33" i="2"/>
  <c r="L33" i="2"/>
  <c r="D99" i="2" s="1"/>
  <c r="M32" i="2"/>
  <c r="L32" i="2"/>
  <c r="M31" i="2"/>
  <c r="L31" i="2"/>
  <c r="M30" i="2"/>
  <c r="L30" i="2"/>
  <c r="M29" i="2"/>
  <c r="L29" i="2"/>
  <c r="M28" i="2"/>
  <c r="L28" i="2"/>
  <c r="M27" i="2"/>
  <c r="L27" i="2"/>
  <c r="M26" i="2"/>
  <c r="L26" i="2"/>
  <c r="M25" i="2"/>
  <c r="L25" i="2"/>
  <c r="M24" i="2"/>
  <c r="L24" i="2"/>
  <c r="M23" i="2"/>
  <c r="L23" i="2"/>
  <c r="M22" i="2"/>
  <c r="L22" i="2"/>
  <c r="M21" i="2"/>
  <c r="L21" i="2"/>
  <c r="M20" i="2"/>
  <c r="L20" i="2"/>
  <c r="M19" i="2"/>
  <c r="L19" i="2"/>
  <c r="M18" i="2"/>
  <c r="L18" i="2"/>
  <c r="C99" i="2" s="1"/>
  <c r="C106" i="2" s="1"/>
  <c r="C8" i="2"/>
  <c r="C7" i="2"/>
  <c r="E116" i="2" l="1"/>
  <c r="E117" i="2" s="1"/>
  <c r="E118" i="2" s="1"/>
  <c r="E119" i="2" s="1"/>
  <c r="F116" i="2"/>
  <c r="F117" i="2" s="1"/>
  <c r="F118" i="2" s="1"/>
  <c r="F119" i="2" s="1"/>
  <c r="C120" i="2"/>
  <c r="C115" i="2"/>
  <c r="E100" i="2" a="1"/>
  <c r="E100" i="2" s="1"/>
  <c r="E101" i="2" s="1"/>
  <c r="F100" i="2" a="1"/>
  <c r="F100" i="2" s="1"/>
  <c r="F101" i="2" s="1"/>
  <c r="C102" i="2"/>
  <c r="C113" i="2"/>
  <c r="C116" i="2" s="1"/>
  <c r="C117" i="2" s="1"/>
  <c r="C118" i="2" s="1"/>
  <c r="C119" i="2" s="1"/>
  <c r="C121" i="2" s="1"/>
  <c r="C100" i="2" a="1"/>
  <c r="C100" i="2" s="1"/>
  <c r="C101" i="2" s="1"/>
  <c r="G100" i="2" a="1"/>
  <c r="G100" i="2" s="1"/>
  <c r="G101" i="2" s="1"/>
  <c r="D102" i="2"/>
  <c r="D113" i="2"/>
  <c r="D116" i="2" s="1"/>
  <c r="D117" i="2" s="1"/>
  <c r="D118" i="2" s="1"/>
  <c r="D119" i="2" s="1"/>
  <c r="E102" i="2"/>
  <c r="D100" i="2" a="1"/>
  <c r="D100" i="2" s="1"/>
  <c r="D101" i="2" s="1"/>
  <c r="F102" i="2"/>
  <c r="G102" i="2"/>
  <c r="D103" i="2" l="1"/>
  <c r="D104" i="2" s="1"/>
  <c r="D105" i="2" s="1"/>
  <c r="G103" i="2"/>
  <c r="G104" i="2" s="1"/>
  <c r="G105" i="2" s="1"/>
  <c r="C103" i="2"/>
  <c r="C104" i="2" s="1"/>
  <c r="C105" i="2" s="1"/>
  <c r="C107" i="2" s="1"/>
  <c r="F103" i="2"/>
  <c r="F104" i="2" s="1"/>
  <c r="F105" i="2" s="1"/>
  <c r="E103" i="2"/>
  <c r="E104" i="2" s="1"/>
  <c r="E105" i="2" s="1"/>
</calcChain>
</file>

<file path=xl/sharedStrings.xml><?xml version="1.0" encoding="utf-8"?>
<sst xmlns="http://schemas.openxmlformats.org/spreadsheetml/2006/main" count="678" uniqueCount="205">
  <si>
    <t>customer_name</t>
  </si>
  <si>
    <t>USERACCOUNTIDENTIFICATIONNUMB</t>
  </si>
  <si>
    <t>SALINI AMBURAJAN</t>
  </si>
  <si>
    <t>VEERAMMAL KARUPPASAMI</t>
  </si>
  <si>
    <t>TISNY GEORGE</t>
  </si>
  <si>
    <t>REJI JOHNY</t>
  </si>
  <si>
    <t>NISHA JOHN THAMPI DURAI</t>
  </si>
  <si>
    <t>SELVI XAVIER</t>
  </si>
  <si>
    <t>THANKAM SAMUTHIRAM</t>
  </si>
  <si>
    <t>PANKAJAVALLY CHINNASAMY</t>
  </si>
  <si>
    <t>JESEENA SANTHOSH</t>
  </si>
  <si>
    <t>KALAVATHI SELVARAJ</t>
  </si>
  <si>
    <t>UMADEVI ALAGAN</t>
  </si>
  <si>
    <t>Product model</t>
  </si>
  <si>
    <t>Greenway Grameen Smart Stove (GSSV3)</t>
  </si>
  <si>
    <t>Approach for monitoring</t>
  </si>
  <si>
    <t>The sample size to be considered for carrying out monitoring for Product Operation Fraction and Quantity of woody biomass used in the project activity by traditional stoves per household is</t>
  </si>
  <si>
    <t>S.No</t>
  </si>
  <si>
    <t>Parameter</t>
  </si>
  <si>
    <t>Sample size</t>
  </si>
  <si>
    <t>Product Operation Fraction</t>
  </si>
  <si>
    <t xml:space="preserve">Quantity of woody biomass used in the project activity by traditional stoves per household </t>
  </si>
  <si>
    <t>The sample size required for monitoring for "Product Operation Fraction" is (15*5)=75 households and for "Quantity of woody biomass used in the project activity by traditional stoves per household" is (15*5) =75</t>
  </si>
  <si>
    <t xml:space="preserve">As per the guidance given in Footnote 8, page 5 of the CDM standard for Sampling and surveys for CDM project activities and programme of activities, </t>
  </si>
  <si>
    <t>the larger sample size (15*5) = 75 is considered for monitoring both parameters</t>
  </si>
  <si>
    <t>As mentioned in the MR, a survey (to determine if the project stove is being used) is used to determine the parameter "POF"and a combination of survey (to determine if the traditional stove is in use) and field test (to measure the wood consumed in the traditional stove) is used to determine the parameter "uold" . The detailed approach is described in the MR Section E.3 for the parameter POF and uold.</t>
  </si>
  <si>
    <t>Monitoring results</t>
  </si>
  <si>
    <t>BRANCH NAME</t>
  </si>
  <si>
    <t>CUSTOMER NAME</t>
  </si>
  <si>
    <t>ADDRESS1</t>
  </si>
  <si>
    <t>ADDRESS2</t>
  </si>
  <si>
    <t>ADDRESS3</t>
  </si>
  <si>
    <t>PRODUCT MODEL</t>
  </si>
  <si>
    <t>USER ACCOUNT IDENTIFICATION NUMBER (UNIQUE IDENTIFICATION NUMBER FOR HOUSEHOLD)</t>
  </si>
  <si>
    <t>INSTALLATION DATE</t>
  </si>
  <si>
    <t>SURVEY DATE</t>
  </si>
  <si>
    <t>Q1 - Are you currenly using the project stove?</t>
  </si>
  <si>
    <t>Q2 - Do you use another stove alongwith the project stove? IF yes, which stove?</t>
  </si>
  <si>
    <t>Amount of wood consumed in the traditional stove (Tonnes) (Calculated as woody biomass consumed in traditional stove in project scenario per day (in kg) X 365 ("to convert to annual consumption")/1000("for conversion to tonnes")</t>
  </si>
  <si>
    <t>Usage Count</t>
  </si>
  <si>
    <t>MUNNAR</t>
  </si>
  <si>
    <t>SUMATHY BALASUBRAMANIAN</t>
  </si>
  <si>
    <t>TWON DEPARTMENT ,MUNNAR P O,, MUNNAR</t>
  </si>
  <si>
    <t>KERALA</t>
  </si>
  <si>
    <t>No</t>
  </si>
  <si>
    <t>Three stove fired (Wood based Traditional stove)</t>
  </si>
  <si>
    <t>SMITHA VARGHEESE</t>
  </si>
  <si>
    <t>591 PULIAKAL,MUNNAR P O, MUNNAR</t>
  </si>
  <si>
    <t>PUTHENPURACKAL,CHITHIRAPURAM, MUNNAR</t>
  </si>
  <si>
    <t>Yes</t>
  </si>
  <si>
    <t>869 NALLATHANNY MUNNAR,, MUNNAR</t>
  </si>
  <si>
    <t>PALLIKUNNEL H, CHITHIRAPURAM P O,MUNNAR, MUNNAR</t>
  </si>
  <si>
    <t>NIRAPPEL,MUNNAR, MUNNAR</t>
  </si>
  <si>
    <t>EAST DIVISION,MUNNAR P O, MUNNAR</t>
  </si>
  <si>
    <t>109 EAST DIVISION,MUNNAR P O, MUNNAR</t>
  </si>
  <si>
    <t>1535 NEW COLONY,MUNNAR P O, MUNNAR</t>
  </si>
  <si>
    <t>PUTHENPURAYIL H,CHITHIRAPURAM,IDUKKI,, MUNNAR</t>
  </si>
  <si>
    <t>VALIYAKKATTIL H, MUNNAR,, MUNNAR</t>
  </si>
  <si>
    <t>FACTORY DIVISION, PALLIVASAL P O,, MUNNAR</t>
  </si>
  <si>
    <t>BRIGITH VASANTHAKUMAR</t>
  </si>
  <si>
    <t>ROSARIO COTTAGE, BISOONALLY,, MUNNAR</t>
  </si>
  <si>
    <t>MUNIYAMMAL ARUMUGAM   ARUMUGAM</t>
  </si>
  <si>
    <t>860/(972)NADAYAR ROAD, MUNNAR 685612,, MUNNAR</t>
  </si>
  <si>
    <t>KODUNGALLUR</t>
  </si>
  <si>
    <t>BEEVIKUNJI JABBAR</t>
  </si>
  <si>
    <t>MADATHILPARAMBIL HOUSE , PULLUT P O,, KODUNGALLUR</t>
  </si>
  <si>
    <t>AISHABI NOUSHAD</t>
  </si>
  <si>
    <t>KADATHUMURY HOUSE ,EDAVILANGU P O,, KODUNGALLUR</t>
  </si>
  <si>
    <t>BEEVI ABDHULKADHER</t>
  </si>
  <si>
    <t>MARATHANTHARA H,ARICODE P O,, KODUNGALLUR</t>
  </si>
  <si>
    <t>ANITHA VIJAYAN</t>
  </si>
  <si>
    <t>ORAVANTHURUTH HOUSE,ATHANI P O, KODUNGALLUR</t>
  </si>
  <si>
    <t>RENJINI SANTHOSH</t>
  </si>
  <si>
    <t>CHALIL HOUSE,KOMBATHUKADAVU P O, KODUNGALLUR</t>
  </si>
  <si>
    <t>AJITHA BABU</t>
  </si>
  <si>
    <t>MANDATHARA H,EDAVILANGUE P O,, KODUNGALLUR</t>
  </si>
  <si>
    <t>KADEEJABI ABDUL RAHIMAN</t>
  </si>
  <si>
    <t>THEKKINEZHATH,AZHIKODE, KODUNGALLUR</t>
  </si>
  <si>
    <t>MANJU SUNDHARAN</t>
  </si>
  <si>
    <t>THARAYIL HOUSE,VADAKKEKKARA P O, KODUNGALLUR</t>
  </si>
  <si>
    <t>VALSALA UNNIKRISHNAN</t>
  </si>
  <si>
    <t>PADIYATH HOUSE,  S N PURAM,, KODUNGALLUR</t>
  </si>
  <si>
    <t>SUHRA ABUBAKAR</t>
  </si>
  <si>
    <t>KAITHAKAL H,VADAKKEKARA,, KODUNGALLUR</t>
  </si>
  <si>
    <t>NAJEERA SHANVAR</t>
  </si>
  <si>
    <t>EDAVANAKKATU H,KOTTAPPURAM P O,, KODUNGALLUR</t>
  </si>
  <si>
    <t>HAJARA ABDHULKAREEM</t>
  </si>
  <si>
    <t>PALLIPADATH HOUSE,KODUNGALLUR P O, KODUNGALLUR</t>
  </si>
  <si>
    <t>REMANI   RAJAN</t>
  </si>
  <si>
    <t>PADIYATH HOUSE,, KODUNGALLUR</t>
  </si>
  <si>
    <t>SEENA SALIM</t>
  </si>
  <si>
    <t>000020, MANNAMCHERY,, KODUNGALLUR</t>
  </si>
  <si>
    <t>SAJITHA DINESAN</t>
  </si>
  <si>
    <t>VENKIDINGAL HOUSE,ERIYAD,, KODUNGALLUR</t>
  </si>
  <si>
    <t>AROOR</t>
  </si>
  <si>
    <t>SUJATHA CHINNAN</t>
  </si>
  <si>
    <t>PUTHENTHARA, ERAMALLOOR,, AROOR</t>
  </si>
  <si>
    <t>SREEDEVI UTHAMAN</t>
  </si>
  <si>
    <t>KEERTHIKKALCHIRA , THRICHATTUKULAM P O,, AROOR</t>
  </si>
  <si>
    <t>AFSATH HUSSAIN</t>
  </si>
  <si>
    <t>KAYATHINKAL H, POOCHAKKAL P O,, AROOR</t>
  </si>
  <si>
    <t>LEENA JACOB</t>
  </si>
  <si>
    <t>KUTTAMPARAMBIL HOUSE,MALSYAPURI, AROOR</t>
  </si>
  <si>
    <t>GRAICY BASIL</t>
  </si>
  <si>
    <t>KUPPAKKATTU,EZHUPUNNA, AROOR</t>
  </si>
  <si>
    <t>MARIYAKKUTTY THOMAS</t>
  </si>
  <si>
    <t>NAMBOOTTIL H,VADUTHALAJETTY P O,, AROOR</t>
  </si>
  <si>
    <t>REKHA VENUGOPAL</t>
  </si>
  <si>
    <t>VIRINDHA NIVAS,  AROOR,, AROOR</t>
  </si>
  <si>
    <t>LATHA JOSEPH</t>
  </si>
  <si>
    <t>MARAYKAMPARAMB, EZHUPUNNA PO,, AROOR</t>
  </si>
  <si>
    <t>ANIE ANTONY</t>
  </si>
  <si>
    <t>KALLUCHIRA HOUSE,, AROOR</t>
  </si>
  <si>
    <t>GEETHA PRASADH</t>
  </si>
  <si>
    <t>VADASSERIPARAMBU  H , NADUVATH NAGAR,, AROOR</t>
  </si>
  <si>
    <t>GRACY XAVIER</t>
  </si>
  <si>
    <t>VATTATHARA  AROOR,, AROOR</t>
  </si>
  <si>
    <t>KOMALA  PEETHAMBARAN</t>
  </si>
  <si>
    <t>THEVATHARA,, AROOR</t>
  </si>
  <si>
    <t>MAHESWARY PREMKUMAR</t>
  </si>
  <si>
    <t>PREETHABHAVAN H,THOPPUMPADY P O,, AROOR</t>
  </si>
  <si>
    <t>DHANYA ANEESH</t>
  </si>
  <si>
    <t>VELUTHULLI COLONY,AROOR ALAPUZHA, AROOR</t>
  </si>
  <si>
    <t>RAJANI JAYADEVAN</t>
  </si>
  <si>
    <t>THOPPUVELIYIL,PANAVALLY,, AROOR</t>
  </si>
  <si>
    <t>VALANCHERY</t>
  </si>
  <si>
    <t>SAROJINI RAJAN</t>
  </si>
  <si>
    <t>KIDAGOOR H,ERAVAKKAD, VALANCHERY</t>
  </si>
  <si>
    <t>VILASINI KUNJAN</t>
  </si>
  <si>
    <t>KUNNUMPURATH H, KODUMMUNDA PO,, VALANCHERY</t>
  </si>
  <si>
    <t>SHAILAJA RADHAKRISHNAN</t>
  </si>
  <si>
    <t>PARAKOOTHPALLIYALIL H, PARUTHUR PO,, VALANCHERY</t>
  </si>
  <si>
    <t>MONUSHA VINOD</t>
  </si>
  <si>
    <t>MACHINGAL H, PARUTHUR PO,, VALANCHERY</t>
  </si>
  <si>
    <t>MADHAVI RAJAN</t>
  </si>
  <si>
    <t>PARAPPIL H, KARIPPOL,, VALANCHERY</t>
  </si>
  <si>
    <t>LUBEENA SIDDIQ</t>
  </si>
  <si>
    <t>ANGADIPARAMBIL H, PARUTHUR PO,, VALANCHERY</t>
  </si>
  <si>
    <t>SEKEENA NASAR</t>
  </si>
  <si>
    <t>MATTATH,KATTIPPARUTHI, VALANCHERY</t>
  </si>
  <si>
    <t>VALLI CHENNAN</t>
  </si>
  <si>
    <t>MAIKUNNINMEL H, PARUTHUR PO,, VALANCHERY</t>
  </si>
  <si>
    <t>FOUSIYA SEKKEER</t>
  </si>
  <si>
    <t>ATHIKKAPARAMBIL, KALLINGAL, KALPAKANCHERY,, VALANCHERY</t>
  </si>
  <si>
    <t>HAJARA MOIDEEN</t>
  </si>
  <si>
    <t>PALLIPARAMBIL,  VALANCHERY,, VALANCHERY</t>
  </si>
  <si>
    <t>SUHRA MUHAMMED</t>
  </si>
  <si>
    <t>PARAMBIL H, PARUTHUR PO,, VALANCHERY</t>
  </si>
  <si>
    <t>SINDHU CHANDRAN</t>
  </si>
  <si>
    <t>NADAKKAVUPARMBIL H, PARADUR  PO,, VALANCHERY</t>
  </si>
  <si>
    <t>AMINA SAITHALAVI</t>
  </si>
  <si>
    <t>KUNNUMPURATH,, VALANCHERY</t>
  </si>
  <si>
    <t>SUJITHA SUNDARAN</t>
  </si>
  <si>
    <t>NADAKKAVUPARAMBIL H, PARADUR  PO,, VALANCHERY</t>
  </si>
  <si>
    <t>HAIRUNNEESA SAITHALAVI</t>
  </si>
  <si>
    <t>THACAHRKUZHIYIL  H, KAIPPURAM P O,, VALANCHERY</t>
  </si>
  <si>
    <t>ADIMALY</t>
  </si>
  <si>
    <t>SALEENA JAISON</t>
  </si>
  <si>
    <t>KANJIPLACKAL HOUSE ,VALARA P O,, ADIMALY</t>
  </si>
  <si>
    <t>SUMALATHA RAJAN</t>
  </si>
  <si>
    <t>CHATTUPARAKUDI     MACHIPLAVU  P   O,, ADIMALY</t>
  </si>
  <si>
    <t>VALSA GEORGE</t>
  </si>
  <si>
    <t>THUNDINETH H,ADIMALY P O, ADIMALY</t>
  </si>
  <si>
    <t>ELSY BENNY</t>
  </si>
  <si>
    <t>PERUMBILLIL ,VATTIYAR,, ADIMALY</t>
  </si>
  <si>
    <t>SAINABA NISAR</t>
  </si>
  <si>
    <t>VELLAKKUDY,ADIMALY, ADIMALY</t>
  </si>
  <si>
    <t>SUDHA RAJAN</t>
  </si>
  <si>
    <t>PALACHUVATTIL  H,THOKKUPARA P O, ADIMALY</t>
  </si>
  <si>
    <t>BINDHU SHAIJO</t>
  </si>
  <si>
    <t>CHELAKKUDIYIL,, ADIMALY</t>
  </si>
  <si>
    <t>CHITHRA AYYAPPAN</t>
  </si>
  <si>
    <t>MANAKKAKUDY H,VALARA P O, ADIMALY</t>
  </si>
  <si>
    <t>KAMAKSHY</t>
  </si>
  <si>
    <t>PUTHANPARAMBIL,VATTAYAR P.O,, ADIMALY</t>
  </si>
  <si>
    <t>LISSY JOSEPH</t>
  </si>
  <si>
    <t>PANDIMATTATHIL (H),ADIMALY P.O,MANNANKALA,, ADIMALY</t>
  </si>
  <si>
    <t>SUHARA ASSSAINAR</t>
  </si>
  <si>
    <t>UTHUVAN,KOOMPANPARA, ADIMALY</t>
  </si>
  <si>
    <t>SOOSAN GEORGE</t>
  </si>
  <si>
    <t>PUTHUMANAKANDATHIL H,MACHIPLAVU,, ADIMALY</t>
  </si>
  <si>
    <t>ROSA ANTONY</t>
  </si>
  <si>
    <t>KANIYAMKUDY,SENGULAM, ADIMALY</t>
  </si>
  <si>
    <t>LIJI SHAIJO</t>
  </si>
  <si>
    <t>NJALIYAMPARAMBIL,, ADIMALY</t>
  </si>
  <si>
    <t>SALY GEORGE</t>
  </si>
  <si>
    <t>PUTHENPURACKAL H, ADIMALY PO,, ADIMALY</t>
  </si>
  <si>
    <t xml:space="preserve">Reliability calculations for Quantity of woody biomass used in the project activity by traditional stoves per household </t>
  </si>
  <si>
    <t>Population</t>
  </si>
  <si>
    <t>Mean</t>
  </si>
  <si>
    <t>Standard Deviation</t>
  </si>
  <si>
    <t>Standard Error</t>
  </si>
  <si>
    <t>t-value</t>
  </si>
  <si>
    <t>Precision</t>
  </si>
  <si>
    <t>Relative precision</t>
  </si>
  <si>
    <t>Upper bound</t>
  </si>
  <si>
    <t>uold without meeting precision</t>
  </si>
  <si>
    <t>uold after applying upper bound for branches not meeting precision</t>
  </si>
  <si>
    <t>Reliability calculations for Product Operation Fraction</t>
  </si>
  <si>
    <t>Parameter of Interest (p)</t>
  </si>
  <si>
    <t>q=(1-p)</t>
  </si>
  <si>
    <t>Relative Precision</t>
  </si>
  <si>
    <t>Lower bound calculation</t>
  </si>
  <si>
    <t>Product Operation Fraction without meeting precision</t>
  </si>
  <si>
    <t>Product Operation Fraction with applying lower bound correction for branches not meeting required precision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</si>
</sst>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b/>
      <u/>
      <sz val="12"/>
      <color rgb="FF000000"/>
      <name val="Calibri"/>
      <family val="2"/>
    </font>
    <font>
      <sz val="12"/>
      <color rgb="FF000000"/>
      <name val="Calibri"/>
      <family val="2"/>
    </font>
    <font>
      <b/>
      <sz val="12"/>
      <color rgb="FF000000"/>
      <name val="Calibri"/>
      <family val="2"/>
    </font>
    <font>
      <sz val="12"/>
      <name val="Calibri"/>
      <family val="2"/>
    </font>
    <font>
      <sz val="12"/>
      <color rgb="FF000000"/>
      <name val="Calibri"/>
      <family val="2"/>
      <charset val="1"/>
    </font>
    <font>
      <b/>
      <sz val="12"/>
      <name val="Calibri"/>
      <family val="2"/>
    </font>
    <font>
      <sz val="12"/>
      <color rgb="FF000000"/>
      <name val="Calibri"/>
      <family val="2"/>
      <scheme val="minor"/>
    </font>
    <font>
      <sz val="12"/>
      <color rgb="FF0A0101"/>
      <name val="Calibri"/>
      <family val="2"/>
    </font>
    <font>
      <sz val="12"/>
      <color rgb="FFFF0000"/>
      <name val="Calibri"/>
      <family val="2"/>
    </font>
    <font>
      <sz val="12"/>
      <color theme="1"/>
      <name val="Calibri"/>
      <family val="2"/>
    </font>
    <font>
      <sz val="12"/>
      <color rgb="FF3366FF"/>
      <name val="Calibri"/>
      <family val="2"/>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9" fontId="8" fillId="0" borderId="0" applyBorder="0" applyProtection="0"/>
  </cellStyleXfs>
  <cellXfs count="61">
    <xf numFmtId="0" fontId="0" fillId="0" borderId="0" xfId="0"/>
    <xf numFmtId="0" fontId="2" fillId="0" borderId="0" xfId="0" applyFont="1"/>
    <xf numFmtId="0" fontId="3" fillId="0" borderId="0" xfId="0" applyFont="1"/>
    <xf numFmtId="0" fontId="3" fillId="0" borderId="0" xfId="0" applyFont="1" applyAlignment="1">
      <alignment horizontal="right"/>
    </xf>
    <xf numFmtId="0" fontId="4" fillId="0" borderId="0" xfId="0" applyFont="1"/>
    <xf numFmtId="0" fontId="5" fillId="0" borderId="0" xfId="0" applyFont="1"/>
    <xf numFmtId="0" fontId="6" fillId="0" borderId="1" xfId="0" applyFont="1" applyBorder="1"/>
    <xf numFmtId="0" fontId="6" fillId="0" borderId="2" xfId="0" applyFont="1" applyBorder="1"/>
    <xf numFmtId="0" fontId="5" fillId="0" borderId="3" xfId="0" applyFont="1" applyBorder="1"/>
    <xf numFmtId="0" fontId="5" fillId="0" borderId="4" xfId="0" applyFont="1" applyBorder="1"/>
    <xf numFmtId="0" fontId="5" fillId="0" borderId="4" xfId="0" applyFont="1" applyBorder="1" applyAlignment="1">
      <alignment wrapText="1"/>
    </xf>
    <xf numFmtId="0" fontId="5" fillId="0" borderId="0" xfId="0" applyFont="1" applyAlignment="1">
      <alignment wrapText="1"/>
    </xf>
    <xf numFmtId="0" fontId="7" fillId="0" borderId="0" xfId="0" applyFont="1"/>
    <xf numFmtId="0" fontId="7" fillId="0" borderId="0" xfId="3" applyNumberFormat="1" applyFont="1"/>
    <xf numFmtId="0" fontId="6" fillId="0" borderId="1" xfId="0" applyFont="1" applyBorder="1" applyAlignment="1">
      <alignment wrapText="1"/>
    </xf>
    <xf numFmtId="0" fontId="9" fillId="0" borderId="1" xfId="0" applyFont="1" applyBorder="1" applyAlignment="1">
      <alignment horizontal="center" wrapText="1"/>
    </xf>
    <xf numFmtId="0" fontId="10" fillId="0" borderId="1" xfId="0" applyFont="1" applyBorder="1" applyAlignment="1">
      <alignment wrapText="1"/>
    </xf>
    <xf numFmtId="0" fontId="8" fillId="0" borderId="1" xfId="0" applyFont="1" applyBorder="1" applyAlignment="1">
      <alignment horizontal="left"/>
    </xf>
    <xf numFmtId="14" fontId="10" fillId="0" borderId="1" xfId="0" applyNumberFormat="1" applyFont="1" applyBorder="1" applyAlignment="1">
      <alignment wrapText="1"/>
    </xf>
    <xf numFmtId="0" fontId="7" fillId="0" borderId="1" xfId="0" applyFont="1" applyBorder="1"/>
    <xf numFmtId="2" fontId="5" fillId="0" borderId="1" xfId="0" applyNumberFormat="1" applyFont="1" applyBorder="1" applyAlignment="1">
      <alignment horizontal="left"/>
    </xf>
    <xf numFmtId="0" fontId="11" fillId="0" borderId="0" xfId="0" applyFont="1"/>
    <xf numFmtId="0" fontId="8" fillId="0" borderId="0" xfId="0" applyFont="1"/>
    <xf numFmtId="0" fontId="8" fillId="0" borderId="1" xfId="0" applyFont="1" applyBorder="1"/>
    <xf numFmtId="14" fontId="8" fillId="0" borderId="1" xfId="0" applyNumberFormat="1" applyFont="1" applyBorder="1"/>
    <xf numFmtId="0" fontId="12" fillId="0" borderId="0" xfId="0" applyFont="1"/>
    <xf numFmtId="2" fontId="13" fillId="0" borderId="1" xfId="0" applyNumberFormat="1" applyFont="1" applyBorder="1" applyAlignment="1">
      <alignment horizontal="left"/>
    </xf>
    <xf numFmtId="0" fontId="13" fillId="0" borderId="1" xfId="0" applyFont="1" applyBorder="1"/>
    <xf numFmtId="0" fontId="13" fillId="0" borderId="0" xfId="0" applyFont="1"/>
    <xf numFmtId="14" fontId="8" fillId="0" borderId="1" xfId="0" applyNumberFormat="1" applyFont="1" applyBorder="1" applyAlignment="1">
      <alignment horizontal="right"/>
    </xf>
    <xf numFmtId="0" fontId="14" fillId="0" borderId="0" xfId="0" applyFont="1"/>
    <xf numFmtId="2" fontId="0" fillId="0" borderId="0" xfId="0" applyNumberFormat="1"/>
    <xf numFmtId="0" fontId="5" fillId="0" borderId="5" xfId="0" applyFont="1" applyBorder="1"/>
    <xf numFmtId="0" fontId="10" fillId="0" borderId="6" xfId="0" applyFont="1" applyBorder="1" applyAlignment="1">
      <alignment wrapText="1"/>
    </xf>
    <xf numFmtId="0" fontId="8" fillId="0" borderId="6" xfId="0" applyFont="1" applyBorder="1" applyAlignment="1">
      <alignment horizontal="left"/>
    </xf>
    <xf numFmtId="0" fontId="8" fillId="0" borderId="7" xfId="0" applyFont="1" applyBorder="1" applyAlignment="1">
      <alignment horizontal="left"/>
    </xf>
    <xf numFmtId="0" fontId="5" fillId="0" borderId="8" xfId="0" applyFont="1" applyBorder="1"/>
    <xf numFmtId="0" fontId="5" fillId="0" borderId="9" xfId="0" applyFont="1" applyBorder="1"/>
    <xf numFmtId="2" fontId="5" fillId="0" borderId="0" xfId="0" applyNumberFormat="1" applyFont="1"/>
    <xf numFmtId="2" fontId="5" fillId="0" borderId="9" xfId="0" applyNumberFormat="1" applyFont="1" applyBorder="1"/>
    <xf numFmtId="10" fontId="12" fillId="0" borderId="0" xfId="2" applyNumberFormat="1" applyFont="1" applyFill="1" applyBorder="1" applyAlignment="1" applyProtection="1"/>
    <xf numFmtId="10" fontId="12" fillId="0" borderId="9" xfId="2" applyNumberFormat="1" applyFont="1" applyFill="1" applyBorder="1" applyAlignment="1" applyProtection="1"/>
    <xf numFmtId="2" fontId="5" fillId="0" borderId="0" xfId="2" applyNumberFormat="1" applyFont="1" applyFill="1" applyBorder="1" applyAlignment="1" applyProtection="1">
      <alignment horizontal="right"/>
    </xf>
    <xf numFmtId="2" fontId="5" fillId="0" borderId="9" xfId="2" applyNumberFormat="1" applyFont="1" applyFill="1" applyBorder="1" applyAlignment="1" applyProtection="1">
      <alignment horizontal="right"/>
    </xf>
    <xf numFmtId="2" fontId="5" fillId="0" borderId="0" xfId="2" applyNumberFormat="1" applyFont="1" applyFill="1" applyBorder="1" applyAlignment="1" applyProtection="1"/>
    <xf numFmtId="9" fontId="5" fillId="0" borderId="0" xfId="2" applyFont="1" applyFill="1" applyBorder="1" applyAlignment="1" applyProtection="1"/>
    <xf numFmtId="9" fontId="5" fillId="0" borderId="9" xfId="2" applyFont="1" applyFill="1" applyBorder="1" applyAlignment="1" applyProtection="1"/>
    <xf numFmtId="0" fontId="6" fillId="0" borderId="10" xfId="0" applyFont="1" applyBorder="1" applyAlignment="1">
      <alignment wrapText="1"/>
    </xf>
    <xf numFmtId="2" fontId="6" fillId="0" borderId="11" xfId="2" applyNumberFormat="1" applyFont="1" applyFill="1" applyBorder="1" applyAlignment="1" applyProtection="1"/>
    <xf numFmtId="9" fontId="5" fillId="0" borderId="11" xfId="2" applyFont="1" applyFill="1" applyBorder="1" applyAlignment="1" applyProtection="1"/>
    <xf numFmtId="9" fontId="5" fillId="0" borderId="12" xfId="2" applyFont="1" applyFill="1" applyBorder="1" applyAlignment="1" applyProtection="1"/>
    <xf numFmtId="0" fontId="5" fillId="0" borderId="6" xfId="0" applyFont="1" applyBorder="1"/>
    <xf numFmtId="0" fontId="5" fillId="0" borderId="7" xfId="0" applyFont="1" applyBorder="1"/>
    <xf numFmtId="43" fontId="5" fillId="0" borderId="0" xfId="1" applyFont="1" applyFill="1" applyBorder="1" applyProtection="1"/>
    <xf numFmtId="43" fontId="5" fillId="0" borderId="9" xfId="1" applyFont="1" applyFill="1" applyBorder="1" applyProtection="1"/>
    <xf numFmtId="0" fontId="7" fillId="0" borderId="8" xfId="0" applyFont="1" applyBorder="1" applyAlignment="1">
      <alignment horizontal="left" wrapText="1"/>
    </xf>
    <xf numFmtId="43" fontId="5" fillId="0" borderId="0" xfId="1" applyFont="1" applyFill="1" applyBorder="1" applyAlignment="1" applyProtection="1"/>
    <xf numFmtId="0" fontId="9" fillId="0" borderId="10" xfId="0" applyFont="1" applyBorder="1" applyAlignment="1">
      <alignment horizontal="left" wrapText="1"/>
    </xf>
    <xf numFmtId="43" fontId="6" fillId="0" borderId="11" xfId="1" applyFont="1" applyFill="1" applyBorder="1" applyAlignment="1" applyProtection="1"/>
    <xf numFmtId="0" fontId="5" fillId="0" borderId="11" xfId="0" applyFont="1" applyBorder="1"/>
    <xf numFmtId="0" fontId="5" fillId="0" borderId="12" xfId="0" applyFont="1" applyBorder="1"/>
  </cellXfs>
  <cellStyles count="4">
    <cellStyle name="Comma" xfId="1" builtinId="3"/>
    <cellStyle name="Explanatory Text 2" xfId="3" xr:uid="{71F44B7D-6B27-4723-8D34-7D4DC82F25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rant/Dropbox/MEC-Internal%20Carbon%20Team%20Folder/Carbon/Carbon%20Library/MP8/Batch%205/IRC/9181-0003%20ER%20calculation%20sheet_MP8B5_v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A3_information"/>
      <sheetName val="ER and branchwise sales summary"/>
      <sheetName val="ESAF_Stoves"/>
      <sheetName val="Muthoot_Solar_GJ"/>
      <sheetName val="Muthoot_Solar_KA"/>
      <sheetName val="Muthoot_Solar_MP"/>
      <sheetName val="Muthoot_Solar_MH"/>
      <sheetName val="Muthoot_Solar_KL"/>
      <sheetName val="Muthoot_Solar_UP"/>
      <sheetName val="Muthoot_Solar_OD"/>
      <sheetName val="Muthoot_Solar_TN"/>
      <sheetName val="ESAF_MH536_TN"/>
      <sheetName val="ESAF_MH536_MH"/>
      <sheetName val="ESAF_MH536_MP"/>
      <sheetName val="ESAF_MH536_KL"/>
      <sheetName val="ESAF_GO 250_MH"/>
      <sheetName val="ESAF_MS352_KL"/>
      <sheetName val="ESAF_MS352_TN"/>
      <sheetName val="ESAF_SL1300_KL"/>
      <sheetName val="ESAF_SL1300_TN"/>
      <sheetName val="ESAF_HLS_TN"/>
      <sheetName val="ESAF_HLS_KL"/>
      <sheetName val="ESAF_HLS_PD"/>
      <sheetName val="ESAF_Pro2_TN"/>
      <sheetName val="ESAF_Pro2_PD"/>
      <sheetName val="ESAF_Pro2_KL"/>
      <sheetName val="ESAF_SL1700_KL"/>
      <sheetName val="ESAF_Mitva C2_KL"/>
      <sheetName val="ESAF_MS352A_KL"/>
      <sheetName val="ESAF_MS 16B_TN"/>
      <sheetName val="ESAF_MS 16B_KL"/>
      <sheetName val="Stove monitoring_nnew"/>
      <sheetName val="Stove monitoring_POF,uold"/>
      <sheetName val="Muthoot_Sol_Mon_Guj"/>
      <sheetName val="Muthoot_Sol_Mon_Karn"/>
      <sheetName val="Muthoot_Sol_Mon_Kerala"/>
      <sheetName val="Muthoot_Sol_Mon_MP"/>
      <sheetName val="Muthoot_Sol_Mon_MH"/>
      <sheetName val="Muthoot_Sol_Mon_TN"/>
      <sheetName val="Muthoot_Sol_Mon_Odd"/>
      <sheetName val="Muthoot_Solar_Mon_UP"/>
      <sheetName val="ESAF_Pro2_TN_Mon"/>
      <sheetName val="ESAF_MH536_TN_Mon"/>
      <sheetName val="ESAF_MH536_MH_Mon"/>
      <sheetName val="ESAF_MS352_TN_Mon"/>
      <sheetName val="ESAF_HLS_TN_Mon"/>
      <sheetName val="ESAF_SL1300_TN_Mon"/>
      <sheetName val="ESAF_MH536_MP_Mon"/>
      <sheetName val="ESAF_SunkPro2_Pondi_Mon"/>
      <sheetName val="ESAF_SunkHLS_Pondi_Mon"/>
      <sheetName val="ESAF_SL1300_Ker_Mon"/>
      <sheetName val="ESAF_SL1700_Ker_Mon"/>
      <sheetName val="ESAF_MH536_Ker_Mon"/>
      <sheetName val="ESAF_Mitva C2_Ker_Mon"/>
      <sheetName val="ESAF_MS352_Ker_Mon"/>
      <sheetName val="ESAF_Pro2_Ker_Mon"/>
      <sheetName val="ESAF_HLS_Ker_Mon"/>
      <sheetName val="ESAF_MS16B_TN_Mon"/>
      <sheetName val="ESAF_GO 250_MH_Mon"/>
      <sheetName val="ESAF_MS352A_Ker_Mon"/>
      <sheetName val="ESAF_MS16B_Ker_Mon"/>
      <sheetName val="Sample size calculator_nnew"/>
      <sheetName val="Samplesize calculator_POF"/>
      <sheetName val="Samplesize calculator_uold"/>
      <sheetName val="Muthoot SamSizeCalc"/>
      <sheetName val="ESAF_Sol_SamSizCal"/>
    </sheetNames>
    <sheetDataSet>
      <sheetData sheetId="0"/>
      <sheetData sheetId="1">
        <row r="21">
          <cell r="B21" t="str">
            <v>VAIKKOM</v>
          </cell>
          <cell r="C21">
            <v>791</v>
          </cell>
        </row>
        <row r="22">
          <cell r="B22" t="str">
            <v>CHAVAKKAD</v>
          </cell>
          <cell r="C22">
            <v>804</v>
          </cell>
        </row>
        <row r="23">
          <cell r="B23" t="str">
            <v>VALAPAD</v>
          </cell>
          <cell r="C23">
            <v>699</v>
          </cell>
        </row>
        <row r="24">
          <cell r="B24" t="str">
            <v>NJARAKKAL</v>
          </cell>
          <cell r="C24">
            <v>439</v>
          </cell>
        </row>
        <row r="25">
          <cell r="B25" t="str">
            <v>KANIYAPURAM</v>
          </cell>
          <cell r="C25">
            <v>45</v>
          </cell>
        </row>
        <row r="26">
          <cell r="B26" t="str">
            <v>AROOR</v>
          </cell>
          <cell r="C26">
            <v>502</v>
          </cell>
        </row>
        <row r="27">
          <cell r="B27" t="str">
            <v>VIZHINJAM</v>
          </cell>
          <cell r="C27">
            <v>467</v>
          </cell>
        </row>
        <row r="28">
          <cell r="B28" t="str">
            <v>KAYAMKULAM</v>
          </cell>
          <cell r="C28">
            <v>694</v>
          </cell>
        </row>
        <row r="29">
          <cell r="B29" t="str">
            <v>PUNALUR</v>
          </cell>
          <cell r="C29">
            <v>407</v>
          </cell>
        </row>
        <row r="30">
          <cell r="B30" t="str">
            <v>PERINJANAM</v>
          </cell>
          <cell r="C30">
            <v>404</v>
          </cell>
        </row>
        <row r="31">
          <cell r="B31" t="str">
            <v>POOVAR</v>
          </cell>
          <cell r="C31">
            <v>151</v>
          </cell>
        </row>
        <row r="32">
          <cell r="B32" t="str">
            <v>TRIPUNITHURA</v>
          </cell>
          <cell r="C32">
            <v>269</v>
          </cell>
        </row>
        <row r="33">
          <cell r="B33" t="str">
            <v>PATTAMBI</v>
          </cell>
          <cell r="C33">
            <v>57</v>
          </cell>
        </row>
        <row r="34">
          <cell r="B34" t="str">
            <v>RAMANATTUKARA</v>
          </cell>
          <cell r="C34">
            <v>92</v>
          </cell>
        </row>
        <row r="35">
          <cell r="B35" t="str">
            <v>ANCHAL</v>
          </cell>
          <cell r="C35">
            <v>284</v>
          </cell>
        </row>
        <row r="36">
          <cell r="B36" t="str">
            <v>AREAKODE</v>
          </cell>
          <cell r="C36">
            <v>31</v>
          </cell>
        </row>
        <row r="37">
          <cell r="B37" t="str">
            <v>ELAPPARA</v>
          </cell>
          <cell r="C37">
            <v>138</v>
          </cell>
        </row>
        <row r="38">
          <cell r="B38" t="str">
            <v>MARAYOOR</v>
          </cell>
          <cell r="C38">
            <v>669</v>
          </cell>
        </row>
        <row r="39">
          <cell r="B39" t="str">
            <v>KATTAKKADA</v>
          </cell>
          <cell r="C39">
            <v>711</v>
          </cell>
        </row>
        <row r="40">
          <cell r="B40" t="str">
            <v>WADAKKANCHERY</v>
          </cell>
          <cell r="C40">
            <v>101</v>
          </cell>
        </row>
        <row r="41">
          <cell r="B41" t="str">
            <v>ADIMALY</v>
          </cell>
          <cell r="C41">
            <v>973</v>
          </cell>
        </row>
        <row r="42">
          <cell r="B42" t="str">
            <v>ANGAMALY</v>
          </cell>
          <cell r="C42">
            <v>197</v>
          </cell>
        </row>
        <row r="43">
          <cell r="B43" t="str">
            <v>VENJARAMOODU</v>
          </cell>
          <cell r="C43">
            <v>71</v>
          </cell>
        </row>
        <row r="44">
          <cell r="B44" t="str">
            <v>THRISSUR</v>
          </cell>
          <cell r="C44">
            <v>222</v>
          </cell>
        </row>
        <row r="45">
          <cell r="B45" t="str">
            <v>KODUNGALLUR</v>
          </cell>
          <cell r="C45">
            <v>182</v>
          </cell>
        </row>
        <row r="46">
          <cell r="B46" t="str">
            <v>VANDITHAVALAM</v>
          </cell>
          <cell r="C46">
            <v>350</v>
          </cell>
        </row>
        <row r="47">
          <cell r="B47" t="str">
            <v>RAJAKUMARI</v>
          </cell>
          <cell r="C47">
            <v>809</v>
          </cell>
        </row>
        <row r="48">
          <cell r="B48" t="str">
            <v>PAZHAYANNUR</v>
          </cell>
          <cell r="C48">
            <v>55</v>
          </cell>
        </row>
        <row r="49">
          <cell r="B49" t="str">
            <v>THIROOR</v>
          </cell>
          <cell r="C49">
            <v>79</v>
          </cell>
        </row>
        <row r="50">
          <cell r="B50" t="str">
            <v>THIRUVALLA</v>
          </cell>
          <cell r="C50">
            <v>70</v>
          </cell>
        </row>
        <row r="51">
          <cell r="B51" t="str">
            <v>ALATHUR</v>
          </cell>
          <cell r="C51">
            <v>102</v>
          </cell>
        </row>
        <row r="52">
          <cell r="B52" t="str">
            <v>AMBALAPPUZHA</v>
          </cell>
          <cell r="C52">
            <v>291</v>
          </cell>
        </row>
        <row r="53">
          <cell r="B53" t="str">
            <v>MUHAMMA</v>
          </cell>
          <cell r="C53">
            <v>45</v>
          </cell>
        </row>
        <row r="54">
          <cell r="B54" t="str">
            <v>PARA</v>
          </cell>
          <cell r="C54">
            <v>37</v>
          </cell>
        </row>
        <row r="55">
          <cell r="B55" t="str">
            <v>KOTTARAKKARA</v>
          </cell>
          <cell r="C55">
            <v>500</v>
          </cell>
        </row>
        <row r="56">
          <cell r="B56" t="str">
            <v>ALAPPUZHA</v>
          </cell>
          <cell r="C56">
            <v>111</v>
          </cell>
        </row>
        <row r="57">
          <cell r="B57" t="str">
            <v>SANGUMUGHAM</v>
          </cell>
          <cell r="C57">
            <v>255</v>
          </cell>
        </row>
        <row r="58">
          <cell r="B58" t="str">
            <v>IRINJALAKUDA</v>
          </cell>
          <cell r="C58">
            <v>127</v>
          </cell>
        </row>
        <row r="59">
          <cell r="B59" t="str">
            <v>MALA</v>
          </cell>
          <cell r="C59">
            <v>83</v>
          </cell>
        </row>
        <row r="60">
          <cell r="B60" t="str">
            <v>MUNNAR</v>
          </cell>
          <cell r="C60">
            <v>401</v>
          </cell>
        </row>
        <row r="61">
          <cell r="B61" t="str">
            <v>ADOOR</v>
          </cell>
          <cell r="C61">
            <v>438</v>
          </cell>
        </row>
        <row r="62">
          <cell r="B62" t="str">
            <v>THRIKKUNNAPUZHA</v>
          </cell>
          <cell r="C62">
            <v>58</v>
          </cell>
        </row>
        <row r="63">
          <cell r="B63" t="str">
            <v>KOTTAYI</v>
          </cell>
          <cell r="C63">
            <v>88</v>
          </cell>
        </row>
        <row r="64">
          <cell r="B64" t="str">
            <v>KANJIRAPPALLY</v>
          </cell>
          <cell r="C64">
            <v>48</v>
          </cell>
        </row>
        <row r="65">
          <cell r="B65" t="str">
            <v>VATANAPPALLY</v>
          </cell>
          <cell r="C65">
            <v>417</v>
          </cell>
        </row>
        <row r="66">
          <cell r="B66" t="str">
            <v>NILAMBUR</v>
          </cell>
          <cell r="C66">
            <v>37</v>
          </cell>
        </row>
        <row r="67">
          <cell r="B67" t="str">
            <v>TRIVANDRUM</v>
          </cell>
          <cell r="C67">
            <v>145</v>
          </cell>
        </row>
        <row r="68">
          <cell r="B68" t="str">
            <v>ALUVA</v>
          </cell>
          <cell r="C68">
            <v>75</v>
          </cell>
        </row>
        <row r="69">
          <cell r="B69" t="str">
            <v>VALANCHERY</v>
          </cell>
          <cell r="C69">
            <v>74</v>
          </cell>
        </row>
        <row r="70">
          <cell r="B70" t="str">
            <v>KOZHIKODE</v>
          </cell>
          <cell r="C70">
            <v>63</v>
          </cell>
        </row>
        <row r="71">
          <cell r="B71" t="str">
            <v>POZHIYOOR</v>
          </cell>
          <cell r="C71">
            <v>474</v>
          </cell>
        </row>
        <row r="72">
          <cell r="B72" t="str">
            <v>PIRAVOM</v>
          </cell>
          <cell r="C72">
            <v>119</v>
          </cell>
        </row>
        <row r="73">
          <cell r="B73" t="str">
            <v>OTTAPALAM</v>
          </cell>
          <cell r="C73">
            <v>79</v>
          </cell>
        </row>
        <row r="74">
          <cell r="B74" t="str">
            <v>ETTUMANOOR</v>
          </cell>
          <cell r="C74">
            <v>61</v>
          </cell>
        </row>
        <row r="75">
          <cell r="B75" t="str">
            <v>PATTIKKAD</v>
          </cell>
          <cell r="C75">
            <v>174</v>
          </cell>
        </row>
        <row r="76">
          <cell r="B76" t="str">
            <v>MUDAPALLUR</v>
          </cell>
          <cell r="C76">
            <v>106</v>
          </cell>
        </row>
        <row r="77">
          <cell r="B77" t="str">
            <v>EDAKKARA</v>
          </cell>
          <cell r="C77">
            <v>36</v>
          </cell>
        </row>
        <row r="78">
          <cell r="B78" t="str">
            <v>KARUNAGAPPALLY</v>
          </cell>
          <cell r="C78">
            <v>388</v>
          </cell>
        </row>
        <row r="79">
          <cell r="B79" t="str">
            <v>PALAKKAD</v>
          </cell>
          <cell r="C79">
            <v>124</v>
          </cell>
        </row>
        <row r="80">
          <cell r="B80" t="str">
            <v>BALUSSERY</v>
          </cell>
          <cell r="C80">
            <v>142</v>
          </cell>
        </row>
        <row r="81">
          <cell r="B81" t="str">
            <v>PONNANI</v>
          </cell>
          <cell r="C81">
            <v>118</v>
          </cell>
        </row>
        <row r="82">
          <cell r="B82" t="str">
            <v>VADAKKENCHERY</v>
          </cell>
          <cell r="C82">
            <v>23</v>
          </cell>
        </row>
        <row r="83">
          <cell r="B83" t="str">
            <v>CHITTUR</v>
          </cell>
          <cell r="C83">
            <v>42</v>
          </cell>
        </row>
        <row r="84">
          <cell r="B84" t="str">
            <v>PARIPPALLY</v>
          </cell>
          <cell r="C84">
            <v>18</v>
          </cell>
        </row>
        <row r="85">
          <cell r="B85" t="str">
            <v>MANNARKKAD</v>
          </cell>
          <cell r="C85">
            <v>138</v>
          </cell>
        </row>
        <row r="86">
          <cell r="B86" t="str">
            <v>KUNDUKAD</v>
          </cell>
          <cell r="C86">
            <v>83</v>
          </cell>
        </row>
        <row r="87">
          <cell r="B87" t="str">
            <v>KOLLAM</v>
          </cell>
          <cell r="C87">
            <v>131</v>
          </cell>
        </row>
        <row r="88">
          <cell r="B88" t="str">
            <v>THODUPUZHA</v>
          </cell>
          <cell r="C88">
            <v>54</v>
          </cell>
        </row>
        <row r="89">
          <cell r="B89" t="str">
            <v>PERUMBADAPPU</v>
          </cell>
          <cell r="C89">
            <v>406</v>
          </cell>
        </row>
        <row r="90">
          <cell r="B90" t="str">
            <v>AMBALLUR</v>
          </cell>
          <cell r="C90">
            <v>60</v>
          </cell>
        </row>
        <row r="91">
          <cell r="B91" t="str">
            <v>KODUVAYOOR</v>
          </cell>
          <cell r="C91">
            <v>55</v>
          </cell>
        </row>
        <row r="92">
          <cell r="B92" t="str">
            <v>CHALAKUDY</v>
          </cell>
          <cell r="C92">
            <v>30</v>
          </cell>
        </row>
        <row r="93">
          <cell r="B93" t="str">
            <v>MUTHALAMADA</v>
          </cell>
          <cell r="C93">
            <v>104</v>
          </cell>
        </row>
        <row r="94">
          <cell r="B94" t="str">
            <v>KOTHAMANGALAM</v>
          </cell>
          <cell r="C94">
            <v>26</v>
          </cell>
        </row>
        <row r="95">
          <cell r="B95" t="str">
            <v>PERAMBRA</v>
          </cell>
          <cell r="C95">
            <v>38</v>
          </cell>
        </row>
        <row r="96">
          <cell r="B96" t="str">
            <v>AKKIKKAVU</v>
          </cell>
          <cell r="C96">
            <v>101</v>
          </cell>
        </row>
        <row r="97">
          <cell r="B97" t="str">
            <v>PARASALA</v>
          </cell>
          <cell r="C97">
            <v>82</v>
          </cell>
        </row>
        <row r="98">
          <cell r="B98" t="str">
            <v>KOZHINJAMPARA</v>
          </cell>
          <cell r="C98">
            <v>15</v>
          </cell>
        </row>
        <row r="99">
          <cell r="B99" t="str">
            <v>OLAVAKKODE</v>
          </cell>
          <cell r="C99">
            <v>39</v>
          </cell>
        </row>
        <row r="100">
          <cell r="B100" t="str">
            <v>KOTTAYAM</v>
          </cell>
          <cell r="C100">
            <v>37</v>
          </cell>
        </row>
        <row r="101">
          <cell r="B101" t="str">
            <v>KOYILANDY</v>
          </cell>
          <cell r="C101">
            <v>70</v>
          </cell>
        </row>
        <row r="102">
          <cell r="B102" t="str">
            <v>CHERPU</v>
          </cell>
          <cell r="C102">
            <v>14</v>
          </cell>
        </row>
        <row r="103">
          <cell r="B103" t="str">
            <v>PARATHODE</v>
          </cell>
          <cell r="C103">
            <v>41</v>
          </cell>
        </row>
        <row r="104">
          <cell r="B104" t="str">
            <v>NORTH PARAVOOR</v>
          </cell>
          <cell r="C104">
            <v>24</v>
          </cell>
        </row>
        <row r="105">
          <cell r="B105" t="str">
            <v>THIROORANGADI</v>
          </cell>
          <cell r="C105">
            <v>33</v>
          </cell>
        </row>
        <row r="106">
          <cell r="B106" t="str">
            <v>PERUMBAVOOR</v>
          </cell>
          <cell r="C106">
            <v>44</v>
          </cell>
        </row>
        <row r="107">
          <cell r="B107" t="str">
            <v>PUDUNAGARAM</v>
          </cell>
          <cell r="C107">
            <v>11</v>
          </cell>
        </row>
        <row r="108">
          <cell r="B108" t="str">
            <v>NENMARA</v>
          </cell>
          <cell r="C108">
            <v>15</v>
          </cell>
        </row>
        <row r="109">
          <cell r="B109" t="str">
            <v>CHERTHALA</v>
          </cell>
          <cell r="C109">
            <v>8</v>
          </cell>
        </row>
        <row r="110">
          <cell r="B110" t="str">
            <v>PAMPADY</v>
          </cell>
          <cell r="C110">
            <v>20</v>
          </cell>
        </row>
        <row r="111">
          <cell r="B111" t="str">
            <v>PANDIKKAD</v>
          </cell>
          <cell r="C111">
            <v>19</v>
          </cell>
        </row>
        <row r="112">
          <cell r="B112" t="str">
            <v>VAKATHANAM</v>
          </cell>
          <cell r="C112">
            <v>8</v>
          </cell>
        </row>
        <row r="113">
          <cell r="B113" t="str">
            <v>KATTAPANA</v>
          </cell>
          <cell r="C113">
            <v>1</v>
          </cell>
        </row>
        <row r="114">
          <cell r="B114" t="str">
            <v>NEDUMKANDAM</v>
          </cell>
          <cell r="C114">
            <v>1</v>
          </cell>
        </row>
        <row r="115">
          <cell r="B115" t="str">
            <v>KASARAGOD</v>
          </cell>
          <cell r="C115">
            <v>5</v>
          </cell>
        </row>
        <row r="116">
          <cell r="B116" t="str">
            <v>KANHANGAD</v>
          </cell>
          <cell r="C116">
            <v>1</v>
          </cell>
        </row>
        <row r="117">
          <cell r="B117" t="str">
            <v>MANJAWSARAM</v>
          </cell>
          <cell r="C117">
            <v>4</v>
          </cell>
        </row>
        <row r="118">
          <cell r="B118" t="str">
            <v>CHERUVATHUR</v>
          </cell>
          <cell r="C118">
            <v>34</v>
          </cell>
        </row>
        <row r="119">
          <cell r="B119" t="str">
            <v>MAHE</v>
          </cell>
          <cell r="C119">
            <v>2</v>
          </cell>
        </row>
        <row r="120">
          <cell r="B120" t="str">
            <v>IRITTY</v>
          </cell>
          <cell r="C120">
            <v>3</v>
          </cell>
        </row>
        <row r="121">
          <cell r="B121" t="str">
            <v>KANNUR</v>
          </cell>
          <cell r="C121">
            <v>12</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row r="5">
          <cell r="J5">
            <v>15</v>
          </cell>
        </row>
        <row r="12">
          <cell r="J12">
            <v>5</v>
          </cell>
        </row>
      </sheetData>
      <sheetData sheetId="63">
        <row r="28">
          <cell r="C28">
            <v>15</v>
          </cell>
        </row>
        <row r="29">
          <cell r="C29">
            <v>5</v>
          </cell>
        </row>
      </sheetData>
      <sheetData sheetId="64"/>
      <sheetData sheetId="6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D3F-0857-44BB-89F6-81CAD7304EC3}">
  <dimension ref="A1:C12"/>
  <sheetViews>
    <sheetView workbookViewId="0">
      <selection activeCell="B1" sqref="B1:B12"/>
    </sheetView>
  </sheetViews>
  <sheetFormatPr defaultRowHeight="14.5" x14ac:dyDescent="0.35"/>
  <cols>
    <col min="1" max="1" width="25.453125" bestFit="1" customWidth="1"/>
    <col min="2" max="2" width="25.453125" customWidth="1"/>
    <col min="3" max="3" width="32.7265625" bestFit="1" customWidth="1"/>
  </cols>
  <sheetData>
    <row r="1" spans="1:3" x14ac:dyDescent="0.35">
      <c r="A1" s="1" t="s">
        <v>0</v>
      </c>
      <c r="B1" s="1" t="s">
        <v>13</v>
      </c>
      <c r="C1" s="1" t="s">
        <v>1</v>
      </c>
    </row>
    <row r="2" spans="1:3" x14ac:dyDescent="0.35">
      <c r="A2" s="2" t="s">
        <v>2</v>
      </c>
      <c r="B2" s="2" t="s">
        <v>14</v>
      </c>
      <c r="C2" s="3">
        <v>1520001638</v>
      </c>
    </row>
    <row r="3" spans="1:3" x14ac:dyDescent="0.35">
      <c r="A3" s="2" t="s">
        <v>3</v>
      </c>
      <c r="B3" s="2" t="s">
        <v>14</v>
      </c>
      <c r="C3" s="3">
        <v>1520001338</v>
      </c>
    </row>
    <row r="4" spans="1:3" x14ac:dyDescent="0.35">
      <c r="A4" s="2" t="s">
        <v>4</v>
      </c>
      <c r="B4" s="2" t="s">
        <v>14</v>
      </c>
      <c r="C4" s="3">
        <v>1520002166</v>
      </c>
    </row>
    <row r="5" spans="1:3" x14ac:dyDescent="0.35">
      <c r="A5" s="2" t="s">
        <v>5</v>
      </c>
      <c r="B5" s="2" t="s">
        <v>14</v>
      </c>
      <c r="C5" s="3">
        <v>1520002170</v>
      </c>
    </row>
    <row r="6" spans="1:3" x14ac:dyDescent="0.35">
      <c r="A6" s="2" t="s">
        <v>6</v>
      </c>
      <c r="B6" s="2" t="s">
        <v>14</v>
      </c>
      <c r="C6" s="3">
        <v>1520003582</v>
      </c>
    </row>
    <row r="7" spans="1:3" x14ac:dyDescent="0.35">
      <c r="A7" s="2" t="s">
        <v>7</v>
      </c>
      <c r="B7" s="2" t="s">
        <v>14</v>
      </c>
      <c r="C7" s="3">
        <v>1520000014</v>
      </c>
    </row>
    <row r="8" spans="1:3" x14ac:dyDescent="0.35">
      <c r="A8" s="2" t="s">
        <v>8</v>
      </c>
      <c r="B8" s="2" t="s">
        <v>14</v>
      </c>
      <c r="C8" s="3">
        <v>1520003017</v>
      </c>
    </row>
    <row r="9" spans="1:3" x14ac:dyDescent="0.35">
      <c r="A9" s="2" t="s">
        <v>9</v>
      </c>
      <c r="B9" s="2" t="s">
        <v>14</v>
      </c>
      <c r="C9" s="3">
        <v>1520001110</v>
      </c>
    </row>
    <row r="10" spans="1:3" x14ac:dyDescent="0.35">
      <c r="A10" s="2" t="s">
        <v>10</v>
      </c>
      <c r="B10" s="2" t="s">
        <v>14</v>
      </c>
      <c r="C10" s="3">
        <v>1520002255</v>
      </c>
    </row>
    <row r="11" spans="1:3" x14ac:dyDescent="0.35">
      <c r="A11" s="2" t="s">
        <v>11</v>
      </c>
      <c r="B11" s="2" t="s">
        <v>14</v>
      </c>
      <c r="C11" s="3">
        <v>1520003365</v>
      </c>
    </row>
    <row r="12" spans="1:3" x14ac:dyDescent="0.35">
      <c r="A12" s="2" t="s">
        <v>12</v>
      </c>
      <c r="B12" s="2" t="s">
        <v>14</v>
      </c>
      <c r="C12" s="3">
        <v>1520001232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5344B-F1D4-4351-8653-6E919903BE2C}">
  <dimension ref="A2:O148"/>
  <sheetViews>
    <sheetView tabSelected="1" workbookViewId="0">
      <selection activeCell="C13" sqref="C13"/>
    </sheetView>
  </sheetViews>
  <sheetFormatPr defaultColWidth="8.81640625" defaultRowHeight="15.5" x14ac:dyDescent="0.35"/>
  <cols>
    <col min="1" max="1" width="22" style="5" customWidth="1"/>
    <col min="2" max="2" width="31.81640625" style="5" customWidth="1"/>
    <col min="3" max="3" width="44.08984375" style="5" customWidth="1"/>
    <col min="4" max="4" width="25.08984375" style="5" customWidth="1"/>
    <col min="5" max="5" width="17.81640625" style="5" customWidth="1"/>
    <col min="6" max="6" width="43.453125" style="5" customWidth="1"/>
    <col min="7" max="7" width="21" style="5" customWidth="1"/>
    <col min="8" max="8" width="24.08984375" style="5" customWidth="1"/>
    <col min="9" max="9" width="19.08984375" style="5" customWidth="1"/>
    <col min="10" max="10" width="18.81640625" style="5" customWidth="1"/>
    <col min="11" max="11" width="49" style="5" customWidth="1"/>
    <col min="12" max="12" width="35.453125" style="5" customWidth="1"/>
    <col min="13" max="13" width="21.453125" style="5" customWidth="1"/>
    <col min="14" max="14" width="10.81640625" style="5" customWidth="1"/>
    <col min="15" max="15" width="20.08984375" style="5" customWidth="1"/>
    <col min="16" max="16384" width="8.81640625" style="5"/>
  </cols>
  <sheetData>
    <row r="2" spans="1:3" x14ac:dyDescent="0.35">
      <c r="A2" s="4" t="s">
        <v>15</v>
      </c>
    </row>
    <row r="4" spans="1:3" x14ac:dyDescent="0.35">
      <c r="A4" s="5" t="s">
        <v>16</v>
      </c>
    </row>
    <row r="6" spans="1:3" x14ac:dyDescent="0.35">
      <c r="A6" s="6" t="s">
        <v>17</v>
      </c>
      <c r="B6" s="7" t="s">
        <v>18</v>
      </c>
      <c r="C6" s="7" t="s">
        <v>19</v>
      </c>
    </row>
    <row r="7" spans="1:3" x14ac:dyDescent="0.35">
      <c r="A7" s="8">
        <v>1</v>
      </c>
      <c r="B7" s="9" t="s">
        <v>20</v>
      </c>
      <c r="C7" s="9">
        <f>'[1]Samplesize calculator_POF'!J12*'[1]Samplesize calculator_POF'!J5</f>
        <v>75</v>
      </c>
    </row>
    <row r="8" spans="1:3" ht="46.5" x14ac:dyDescent="0.35">
      <c r="A8" s="8">
        <v>2</v>
      </c>
      <c r="B8" s="10" t="s">
        <v>21</v>
      </c>
      <c r="C8" s="9">
        <f>'[1]Samplesize calculator_uold'!C28*'[1]Samplesize calculator_uold'!C29</f>
        <v>75</v>
      </c>
    </row>
    <row r="9" spans="1:3" x14ac:dyDescent="0.35">
      <c r="B9" s="11"/>
    </row>
    <row r="10" spans="1:3" x14ac:dyDescent="0.35">
      <c r="A10" s="12" t="s">
        <v>22</v>
      </c>
    </row>
    <row r="11" spans="1:3" x14ac:dyDescent="0.35">
      <c r="A11" s="5" t="s">
        <v>23</v>
      </c>
    </row>
    <row r="12" spans="1:3" x14ac:dyDescent="0.35">
      <c r="A12" s="5" t="s">
        <v>24</v>
      </c>
    </row>
    <row r="13" spans="1:3" x14ac:dyDescent="0.35">
      <c r="A13" s="13" t="s">
        <v>25</v>
      </c>
    </row>
    <row r="14" spans="1:3" x14ac:dyDescent="0.35">
      <c r="A14" s="12"/>
    </row>
    <row r="15" spans="1:3" x14ac:dyDescent="0.35">
      <c r="A15" s="4" t="s">
        <v>26</v>
      </c>
    </row>
    <row r="17" spans="1:15" ht="121.25" customHeight="1" x14ac:dyDescent="0.35">
      <c r="A17" s="14" t="s">
        <v>27</v>
      </c>
      <c r="B17" s="14" t="s">
        <v>28</v>
      </c>
      <c r="C17" s="14" t="s">
        <v>29</v>
      </c>
      <c r="D17" s="14" t="s">
        <v>30</v>
      </c>
      <c r="E17" s="14" t="s">
        <v>31</v>
      </c>
      <c r="F17" s="14" t="s">
        <v>32</v>
      </c>
      <c r="G17" s="14" t="s">
        <v>33</v>
      </c>
      <c r="H17" s="6" t="s">
        <v>34</v>
      </c>
      <c r="I17" s="14" t="s">
        <v>35</v>
      </c>
      <c r="J17" s="15" t="s">
        <v>36</v>
      </c>
      <c r="K17" s="15" t="s">
        <v>37</v>
      </c>
      <c r="L17" s="15" t="s">
        <v>38</v>
      </c>
      <c r="M17" s="15" t="s">
        <v>39</v>
      </c>
    </row>
    <row r="18" spans="1:15" ht="15" customHeight="1" x14ac:dyDescent="0.35">
      <c r="A18" s="16" t="s">
        <v>40</v>
      </c>
      <c r="B18" s="16" t="s">
        <v>41</v>
      </c>
      <c r="C18" s="16" t="s">
        <v>42</v>
      </c>
      <c r="D18" s="16" t="s">
        <v>40</v>
      </c>
      <c r="E18" s="17" t="s">
        <v>43</v>
      </c>
      <c r="F18" s="17" t="s">
        <v>14</v>
      </c>
      <c r="G18" s="16">
        <v>1520001512</v>
      </c>
      <c r="H18" s="18">
        <v>41727</v>
      </c>
      <c r="I18" s="18">
        <v>43720</v>
      </c>
      <c r="J18" s="19" t="s">
        <v>44</v>
      </c>
      <c r="K18" s="19" t="s">
        <v>45</v>
      </c>
      <c r="L18" s="20">
        <f>0.345*365/1000</f>
        <v>0.12592500000000001</v>
      </c>
      <c r="M18" s="19">
        <f t="shared" ref="M18:M81" si="0">IF(J18="Yes",1,0)</f>
        <v>0</v>
      </c>
      <c r="N18" s="21"/>
      <c r="O18" s="22"/>
    </row>
    <row r="19" spans="1:15" ht="15" customHeight="1" x14ac:dyDescent="0.35">
      <c r="A19" s="16" t="s">
        <v>40</v>
      </c>
      <c r="B19" s="16" t="s">
        <v>46</v>
      </c>
      <c r="C19" s="16" t="s">
        <v>47</v>
      </c>
      <c r="D19" s="16" t="s">
        <v>40</v>
      </c>
      <c r="E19" s="17" t="s">
        <v>43</v>
      </c>
      <c r="F19" s="17" t="s">
        <v>14</v>
      </c>
      <c r="G19" s="16">
        <v>1520002148</v>
      </c>
      <c r="H19" s="18">
        <v>41759</v>
      </c>
      <c r="I19" s="18">
        <v>43720</v>
      </c>
      <c r="J19" s="19" t="s">
        <v>44</v>
      </c>
      <c r="K19" s="19" t="s">
        <v>45</v>
      </c>
      <c r="L19" s="20">
        <f>0.423*365/1000</f>
        <v>0.15439499999999998</v>
      </c>
      <c r="M19" s="19">
        <f t="shared" si="0"/>
        <v>0</v>
      </c>
      <c r="N19" s="21"/>
      <c r="O19" s="22"/>
    </row>
    <row r="20" spans="1:15" ht="15" customHeight="1" x14ac:dyDescent="0.35">
      <c r="A20" s="16" t="s">
        <v>40</v>
      </c>
      <c r="B20" s="16" t="s">
        <v>2</v>
      </c>
      <c r="C20" s="16" t="s">
        <v>48</v>
      </c>
      <c r="D20" s="16" t="s">
        <v>40</v>
      </c>
      <c r="E20" s="17" t="s">
        <v>43</v>
      </c>
      <c r="F20" s="17" t="s">
        <v>14</v>
      </c>
      <c r="G20" s="16">
        <v>1520001638</v>
      </c>
      <c r="H20" s="18">
        <v>41727</v>
      </c>
      <c r="I20" s="18">
        <v>43720</v>
      </c>
      <c r="J20" s="19" t="s">
        <v>49</v>
      </c>
      <c r="K20" s="19" t="s">
        <v>44</v>
      </c>
      <c r="L20" s="20">
        <f>0*365/1000</f>
        <v>0</v>
      </c>
      <c r="M20" s="19">
        <f t="shared" si="0"/>
        <v>1</v>
      </c>
      <c r="N20" s="21"/>
      <c r="O20" s="22"/>
    </row>
    <row r="21" spans="1:15" ht="15" customHeight="1" x14ac:dyDescent="0.35">
      <c r="A21" s="16" t="s">
        <v>40</v>
      </c>
      <c r="B21" s="16" t="s">
        <v>3</v>
      </c>
      <c r="C21" s="16" t="s">
        <v>50</v>
      </c>
      <c r="D21" s="16" t="s">
        <v>40</v>
      </c>
      <c r="E21" s="17" t="s">
        <v>43</v>
      </c>
      <c r="F21" s="17" t="s">
        <v>14</v>
      </c>
      <c r="G21" s="16">
        <v>1520001338</v>
      </c>
      <c r="H21" s="18">
        <v>41759</v>
      </c>
      <c r="I21" s="18">
        <v>43720</v>
      </c>
      <c r="J21" s="19" t="s">
        <v>49</v>
      </c>
      <c r="K21" s="19" t="s">
        <v>45</v>
      </c>
      <c r="L21" s="20">
        <f>0.417*365/1000</f>
        <v>0.15220499999999998</v>
      </c>
      <c r="M21" s="19">
        <f t="shared" si="0"/>
        <v>1</v>
      </c>
      <c r="N21" s="21"/>
      <c r="O21" s="22"/>
    </row>
    <row r="22" spans="1:15" ht="15" customHeight="1" x14ac:dyDescent="0.35">
      <c r="A22" s="16" t="s">
        <v>40</v>
      </c>
      <c r="B22" s="16" t="s">
        <v>4</v>
      </c>
      <c r="C22" s="16" t="s">
        <v>51</v>
      </c>
      <c r="D22" s="16" t="s">
        <v>40</v>
      </c>
      <c r="E22" s="17" t="s">
        <v>43</v>
      </c>
      <c r="F22" s="17" t="s">
        <v>14</v>
      </c>
      <c r="G22" s="16">
        <v>1520002166</v>
      </c>
      <c r="H22" s="18">
        <v>41759</v>
      </c>
      <c r="I22" s="18">
        <v>43720</v>
      </c>
      <c r="J22" s="19" t="s">
        <v>49</v>
      </c>
      <c r="K22" s="19" t="s">
        <v>45</v>
      </c>
      <c r="L22" s="20">
        <f>0.373*365/1000</f>
        <v>0.13614500000000002</v>
      </c>
      <c r="M22" s="19">
        <f t="shared" si="0"/>
        <v>1</v>
      </c>
      <c r="N22" s="21"/>
      <c r="O22" s="22"/>
    </row>
    <row r="23" spans="1:15" s="12" customFormat="1" ht="15" customHeight="1" x14ac:dyDescent="0.35">
      <c r="A23" s="16" t="s">
        <v>40</v>
      </c>
      <c r="B23" s="16" t="s">
        <v>5</v>
      </c>
      <c r="C23" s="16" t="s">
        <v>52</v>
      </c>
      <c r="D23" s="16" t="s">
        <v>40</v>
      </c>
      <c r="E23" s="17" t="s">
        <v>43</v>
      </c>
      <c r="F23" s="17" t="s">
        <v>14</v>
      </c>
      <c r="G23" s="16">
        <v>1520002170</v>
      </c>
      <c r="H23" s="18">
        <v>41759</v>
      </c>
      <c r="I23" s="18">
        <v>43720</v>
      </c>
      <c r="J23" s="19" t="s">
        <v>49</v>
      </c>
      <c r="K23" s="19" t="s">
        <v>45</v>
      </c>
      <c r="L23" s="20">
        <f>0.395*365/1000</f>
        <v>0.144175</v>
      </c>
      <c r="M23" s="19">
        <f t="shared" si="0"/>
        <v>1</v>
      </c>
      <c r="N23" s="21"/>
      <c r="O23" s="22"/>
    </row>
    <row r="24" spans="1:15" s="12" customFormat="1" ht="15" customHeight="1" x14ac:dyDescent="0.35">
      <c r="A24" s="16" t="s">
        <v>40</v>
      </c>
      <c r="B24" s="16" t="s">
        <v>6</v>
      </c>
      <c r="C24" s="16" t="s">
        <v>53</v>
      </c>
      <c r="D24" s="16" t="s">
        <v>40</v>
      </c>
      <c r="E24" s="17" t="s">
        <v>43</v>
      </c>
      <c r="F24" s="17" t="s">
        <v>14</v>
      </c>
      <c r="G24" s="16">
        <v>1520003582</v>
      </c>
      <c r="H24" s="18">
        <v>41759</v>
      </c>
      <c r="I24" s="18">
        <v>43720</v>
      </c>
      <c r="J24" s="19" t="s">
        <v>49</v>
      </c>
      <c r="K24" s="19" t="s">
        <v>45</v>
      </c>
      <c r="L24" s="20">
        <f>0.372*365/1000</f>
        <v>0.13578000000000001</v>
      </c>
      <c r="M24" s="19">
        <f t="shared" si="0"/>
        <v>1</v>
      </c>
      <c r="N24" s="21"/>
      <c r="O24" s="22"/>
    </row>
    <row r="25" spans="1:15" s="12" customFormat="1" ht="15" customHeight="1" x14ac:dyDescent="0.35">
      <c r="A25" s="16" t="s">
        <v>40</v>
      </c>
      <c r="B25" s="16" t="s">
        <v>7</v>
      </c>
      <c r="C25" s="16" t="s">
        <v>54</v>
      </c>
      <c r="D25" s="16" t="s">
        <v>40</v>
      </c>
      <c r="E25" s="17" t="s">
        <v>43</v>
      </c>
      <c r="F25" s="17" t="s">
        <v>14</v>
      </c>
      <c r="G25" s="16">
        <v>1520000014</v>
      </c>
      <c r="H25" s="18">
        <v>41759</v>
      </c>
      <c r="I25" s="18">
        <v>43720</v>
      </c>
      <c r="J25" s="19" t="s">
        <v>49</v>
      </c>
      <c r="K25" s="19" t="s">
        <v>44</v>
      </c>
      <c r="L25" s="20">
        <f>0*365/1000</f>
        <v>0</v>
      </c>
      <c r="M25" s="19">
        <f t="shared" si="0"/>
        <v>1</v>
      </c>
      <c r="N25" s="21"/>
      <c r="O25" s="22"/>
    </row>
    <row r="26" spans="1:15" s="12" customFormat="1" ht="15" customHeight="1" x14ac:dyDescent="0.35">
      <c r="A26" s="16" t="s">
        <v>40</v>
      </c>
      <c r="B26" s="16" t="s">
        <v>8</v>
      </c>
      <c r="C26" s="16" t="s">
        <v>55</v>
      </c>
      <c r="D26" s="16" t="s">
        <v>40</v>
      </c>
      <c r="E26" s="17" t="s">
        <v>43</v>
      </c>
      <c r="F26" s="17" t="s">
        <v>14</v>
      </c>
      <c r="G26" s="16">
        <v>1520003017</v>
      </c>
      <c r="H26" s="18">
        <v>41727</v>
      </c>
      <c r="I26" s="18">
        <v>43720</v>
      </c>
      <c r="J26" s="19" t="s">
        <v>49</v>
      </c>
      <c r="K26" s="19" t="s">
        <v>45</v>
      </c>
      <c r="L26" s="20">
        <f>0.363*365/1000</f>
        <v>0.132495</v>
      </c>
      <c r="M26" s="19">
        <f t="shared" si="0"/>
        <v>1</v>
      </c>
      <c r="N26" s="21"/>
      <c r="O26" s="22"/>
    </row>
    <row r="27" spans="1:15" s="12" customFormat="1" ht="15" customHeight="1" x14ac:dyDescent="0.35">
      <c r="A27" s="16" t="s">
        <v>40</v>
      </c>
      <c r="B27" s="16" t="s">
        <v>9</v>
      </c>
      <c r="C27" s="16" t="s">
        <v>56</v>
      </c>
      <c r="D27" s="16" t="s">
        <v>40</v>
      </c>
      <c r="E27" s="17" t="s">
        <v>43</v>
      </c>
      <c r="F27" s="17" t="s">
        <v>14</v>
      </c>
      <c r="G27" s="16">
        <v>1520001110</v>
      </c>
      <c r="H27" s="18">
        <v>41727</v>
      </c>
      <c r="I27" s="18">
        <v>43720</v>
      </c>
      <c r="J27" s="19" t="s">
        <v>49</v>
      </c>
      <c r="K27" s="19" t="s">
        <v>45</v>
      </c>
      <c r="L27" s="20">
        <f>0.368*365/1000</f>
        <v>0.13431999999999999</v>
      </c>
      <c r="M27" s="19">
        <f t="shared" si="0"/>
        <v>1</v>
      </c>
      <c r="N27" s="21"/>
      <c r="O27" s="22"/>
    </row>
    <row r="28" spans="1:15" ht="15" customHeight="1" x14ac:dyDescent="0.35">
      <c r="A28" s="16" t="s">
        <v>40</v>
      </c>
      <c r="B28" s="16" t="s">
        <v>10</v>
      </c>
      <c r="C28" s="16" t="s">
        <v>57</v>
      </c>
      <c r="D28" s="16" t="s">
        <v>40</v>
      </c>
      <c r="E28" s="17" t="s">
        <v>43</v>
      </c>
      <c r="F28" s="17" t="s">
        <v>14</v>
      </c>
      <c r="G28" s="16">
        <v>1520002255</v>
      </c>
      <c r="H28" s="18">
        <v>41759</v>
      </c>
      <c r="I28" s="18">
        <v>43720</v>
      </c>
      <c r="J28" s="19" t="s">
        <v>49</v>
      </c>
      <c r="K28" s="19" t="s">
        <v>44</v>
      </c>
      <c r="L28" s="20">
        <f t="shared" ref="L28:L31" si="1">0*365/1000</f>
        <v>0</v>
      </c>
      <c r="M28" s="19">
        <f t="shared" si="0"/>
        <v>1</v>
      </c>
      <c r="N28" s="21"/>
      <c r="O28" s="22"/>
    </row>
    <row r="29" spans="1:15" ht="15" customHeight="1" x14ac:dyDescent="0.35">
      <c r="A29" s="16" t="s">
        <v>40</v>
      </c>
      <c r="B29" s="16" t="s">
        <v>11</v>
      </c>
      <c r="C29" s="16" t="s">
        <v>53</v>
      </c>
      <c r="D29" s="16" t="s">
        <v>40</v>
      </c>
      <c r="E29" s="17" t="s">
        <v>43</v>
      </c>
      <c r="F29" s="17" t="s">
        <v>14</v>
      </c>
      <c r="G29" s="16">
        <v>1520003365</v>
      </c>
      <c r="H29" s="18">
        <v>41759</v>
      </c>
      <c r="I29" s="18">
        <v>43720</v>
      </c>
      <c r="J29" s="19" t="s">
        <v>49</v>
      </c>
      <c r="K29" s="19" t="s">
        <v>44</v>
      </c>
      <c r="L29" s="20">
        <f t="shared" si="1"/>
        <v>0</v>
      </c>
      <c r="M29" s="19">
        <f t="shared" si="0"/>
        <v>1</v>
      </c>
      <c r="N29" s="21"/>
      <c r="O29" s="22"/>
    </row>
    <row r="30" spans="1:15" ht="15" customHeight="1" x14ac:dyDescent="0.35">
      <c r="A30" s="16" t="s">
        <v>40</v>
      </c>
      <c r="B30" s="16" t="s">
        <v>12</v>
      </c>
      <c r="C30" s="16" t="s">
        <v>58</v>
      </c>
      <c r="D30" s="16" t="s">
        <v>40</v>
      </c>
      <c r="E30" s="17" t="s">
        <v>43</v>
      </c>
      <c r="F30" s="17" t="s">
        <v>14</v>
      </c>
      <c r="G30" s="16">
        <v>1520001232</v>
      </c>
      <c r="H30" s="18">
        <v>41727</v>
      </c>
      <c r="I30" s="18">
        <v>43720</v>
      </c>
      <c r="J30" s="19" t="s">
        <v>49</v>
      </c>
      <c r="K30" s="19" t="s">
        <v>44</v>
      </c>
      <c r="L30" s="20">
        <f t="shared" si="1"/>
        <v>0</v>
      </c>
      <c r="M30" s="19">
        <f t="shared" si="0"/>
        <v>1</v>
      </c>
      <c r="N30" s="21"/>
      <c r="O30" s="22"/>
    </row>
    <row r="31" spans="1:15" ht="15" customHeight="1" x14ac:dyDescent="0.35">
      <c r="A31" s="16" t="s">
        <v>40</v>
      </c>
      <c r="B31" s="16" t="s">
        <v>59</v>
      </c>
      <c r="C31" s="16" t="s">
        <v>60</v>
      </c>
      <c r="D31" s="16" t="s">
        <v>40</v>
      </c>
      <c r="E31" s="17" t="s">
        <v>43</v>
      </c>
      <c r="F31" s="17" t="s">
        <v>14</v>
      </c>
      <c r="G31" s="16">
        <v>1520001391</v>
      </c>
      <c r="H31" s="18">
        <v>41727</v>
      </c>
      <c r="I31" s="18">
        <v>43720</v>
      </c>
      <c r="J31" s="19" t="s">
        <v>49</v>
      </c>
      <c r="K31" s="19" t="s">
        <v>44</v>
      </c>
      <c r="L31" s="20">
        <f t="shared" si="1"/>
        <v>0</v>
      </c>
      <c r="M31" s="19">
        <f t="shared" si="0"/>
        <v>1</v>
      </c>
      <c r="N31" s="21"/>
      <c r="O31" s="22"/>
    </row>
    <row r="32" spans="1:15" ht="15" customHeight="1" x14ac:dyDescent="0.35">
      <c r="A32" s="16" t="s">
        <v>40</v>
      </c>
      <c r="B32" s="17" t="s">
        <v>61</v>
      </c>
      <c r="C32" s="17" t="s">
        <v>62</v>
      </c>
      <c r="D32" s="16" t="s">
        <v>40</v>
      </c>
      <c r="E32" s="17" t="s">
        <v>43</v>
      </c>
      <c r="F32" s="17" t="s">
        <v>14</v>
      </c>
      <c r="G32" s="23">
        <v>1520002185</v>
      </c>
      <c r="H32" s="24">
        <v>41727</v>
      </c>
      <c r="I32" s="18">
        <v>43720</v>
      </c>
      <c r="J32" s="19" t="s">
        <v>49</v>
      </c>
      <c r="K32" s="19" t="s">
        <v>45</v>
      </c>
      <c r="L32" s="20">
        <f>0.323*365/1000</f>
        <v>0.11789500000000001</v>
      </c>
      <c r="M32" s="19">
        <f t="shared" si="0"/>
        <v>1</v>
      </c>
      <c r="N32" s="21"/>
      <c r="O32" s="22"/>
    </row>
    <row r="33" spans="1:15" ht="15" customHeight="1" x14ac:dyDescent="0.35">
      <c r="A33" s="17" t="s">
        <v>63</v>
      </c>
      <c r="B33" s="17" t="s">
        <v>64</v>
      </c>
      <c r="C33" s="17" t="s">
        <v>65</v>
      </c>
      <c r="D33" s="17" t="s">
        <v>63</v>
      </c>
      <c r="E33" s="17" t="s">
        <v>43</v>
      </c>
      <c r="F33" s="17" t="s">
        <v>14</v>
      </c>
      <c r="G33" s="23">
        <v>1030005389</v>
      </c>
      <c r="H33" s="24">
        <v>42091</v>
      </c>
      <c r="I33" s="18">
        <v>43721</v>
      </c>
      <c r="J33" s="19" t="s">
        <v>49</v>
      </c>
      <c r="K33" s="19" t="s">
        <v>45</v>
      </c>
      <c r="L33" s="20">
        <f>0.255*365/1000</f>
        <v>9.3075000000000005E-2</v>
      </c>
      <c r="M33" s="19">
        <f t="shared" si="0"/>
        <v>1</v>
      </c>
      <c r="N33" s="21"/>
      <c r="O33" s="22"/>
    </row>
    <row r="34" spans="1:15" ht="15" customHeight="1" x14ac:dyDescent="0.35">
      <c r="A34" s="17" t="s">
        <v>63</v>
      </c>
      <c r="B34" s="17" t="s">
        <v>66</v>
      </c>
      <c r="C34" s="17" t="s">
        <v>67</v>
      </c>
      <c r="D34" s="17" t="s">
        <v>63</v>
      </c>
      <c r="E34" s="17" t="s">
        <v>43</v>
      </c>
      <c r="F34" s="17" t="s">
        <v>14</v>
      </c>
      <c r="G34" s="23">
        <v>1030009222</v>
      </c>
      <c r="H34" s="24">
        <v>42091</v>
      </c>
      <c r="I34" s="18">
        <v>43721</v>
      </c>
      <c r="J34" s="19" t="s">
        <v>49</v>
      </c>
      <c r="K34" s="19" t="s">
        <v>45</v>
      </c>
      <c r="L34" s="20">
        <f>0.345*365/1000</f>
        <v>0.12592500000000001</v>
      </c>
      <c r="M34" s="19">
        <f t="shared" si="0"/>
        <v>1</v>
      </c>
      <c r="N34" s="21"/>
      <c r="O34" s="22"/>
    </row>
    <row r="35" spans="1:15" ht="15" customHeight="1" x14ac:dyDescent="0.35">
      <c r="A35" s="17" t="s">
        <v>63</v>
      </c>
      <c r="B35" s="17" t="s">
        <v>68</v>
      </c>
      <c r="C35" s="17" t="s">
        <v>69</v>
      </c>
      <c r="D35" s="17" t="s">
        <v>63</v>
      </c>
      <c r="E35" s="17" t="s">
        <v>43</v>
      </c>
      <c r="F35" s="17" t="s">
        <v>14</v>
      </c>
      <c r="G35" s="23">
        <v>1030003861</v>
      </c>
      <c r="H35" s="24">
        <v>42035</v>
      </c>
      <c r="I35" s="18">
        <v>43721</v>
      </c>
      <c r="J35" s="19" t="s">
        <v>49</v>
      </c>
      <c r="K35" s="19" t="s">
        <v>45</v>
      </c>
      <c r="L35" s="20">
        <f>0.492*365/1000</f>
        <v>0.17957999999999999</v>
      </c>
      <c r="M35" s="19">
        <f t="shared" si="0"/>
        <v>1</v>
      </c>
      <c r="N35" s="21"/>
      <c r="O35" s="22"/>
    </row>
    <row r="36" spans="1:15" ht="15" customHeight="1" x14ac:dyDescent="0.35">
      <c r="A36" s="17" t="s">
        <v>63</v>
      </c>
      <c r="B36" s="17" t="s">
        <v>70</v>
      </c>
      <c r="C36" s="17" t="s">
        <v>71</v>
      </c>
      <c r="D36" s="17" t="s">
        <v>63</v>
      </c>
      <c r="E36" s="17" t="s">
        <v>43</v>
      </c>
      <c r="F36" s="17" t="s">
        <v>14</v>
      </c>
      <c r="G36" s="23">
        <v>1030000496</v>
      </c>
      <c r="H36" s="24">
        <v>42035</v>
      </c>
      <c r="I36" s="18">
        <v>43721</v>
      </c>
      <c r="J36" s="19" t="s">
        <v>49</v>
      </c>
      <c r="K36" s="19" t="s">
        <v>45</v>
      </c>
      <c r="L36" s="20">
        <f>0.276*365/1000</f>
        <v>0.10074000000000001</v>
      </c>
      <c r="M36" s="19">
        <f t="shared" si="0"/>
        <v>1</v>
      </c>
      <c r="N36" s="21"/>
      <c r="O36" s="22"/>
    </row>
    <row r="37" spans="1:15" s="25" customFormat="1" ht="15" customHeight="1" x14ac:dyDescent="0.35">
      <c r="A37" s="17" t="s">
        <v>63</v>
      </c>
      <c r="B37" s="17" t="s">
        <v>72</v>
      </c>
      <c r="C37" s="17" t="s">
        <v>73</v>
      </c>
      <c r="D37" s="17" t="s">
        <v>63</v>
      </c>
      <c r="E37" s="17" t="s">
        <v>43</v>
      </c>
      <c r="F37" s="17" t="s">
        <v>14</v>
      </c>
      <c r="G37" s="23">
        <v>1030009627</v>
      </c>
      <c r="H37" s="24">
        <v>42062</v>
      </c>
      <c r="I37" s="18">
        <v>43721</v>
      </c>
      <c r="J37" s="19" t="s">
        <v>49</v>
      </c>
      <c r="K37" s="19" t="s">
        <v>45</v>
      </c>
      <c r="L37" s="20">
        <f>0.507*365/1000</f>
        <v>0.185055</v>
      </c>
      <c r="M37" s="19">
        <f t="shared" si="0"/>
        <v>1</v>
      </c>
      <c r="N37" s="21"/>
      <c r="O37" s="22"/>
    </row>
    <row r="38" spans="1:15" s="25" customFormat="1" ht="15" customHeight="1" x14ac:dyDescent="0.35">
      <c r="A38" s="17" t="s">
        <v>63</v>
      </c>
      <c r="B38" s="17" t="s">
        <v>74</v>
      </c>
      <c r="C38" s="17" t="s">
        <v>75</v>
      </c>
      <c r="D38" s="17" t="s">
        <v>63</v>
      </c>
      <c r="E38" s="17" t="s">
        <v>43</v>
      </c>
      <c r="F38" s="17" t="s">
        <v>14</v>
      </c>
      <c r="G38" s="23">
        <v>1030006589</v>
      </c>
      <c r="H38" s="24">
        <v>42035</v>
      </c>
      <c r="I38" s="18">
        <v>43721</v>
      </c>
      <c r="J38" s="19" t="s">
        <v>49</v>
      </c>
      <c r="K38" s="19" t="s">
        <v>45</v>
      </c>
      <c r="L38" s="20">
        <f>0.285*365/1000</f>
        <v>0.10402499999999999</v>
      </c>
      <c r="M38" s="19">
        <f t="shared" si="0"/>
        <v>1</v>
      </c>
      <c r="N38" s="21"/>
      <c r="O38" s="22"/>
    </row>
    <row r="39" spans="1:15" s="25" customFormat="1" ht="15" customHeight="1" x14ac:dyDescent="0.35">
      <c r="A39" s="17" t="s">
        <v>63</v>
      </c>
      <c r="B39" s="17" t="s">
        <v>76</v>
      </c>
      <c r="C39" s="17" t="s">
        <v>77</v>
      </c>
      <c r="D39" s="17" t="s">
        <v>63</v>
      </c>
      <c r="E39" s="17" t="s">
        <v>43</v>
      </c>
      <c r="F39" s="17" t="s">
        <v>14</v>
      </c>
      <c r="G39" s="23">
        <v>1030003067</v>
      </c>
      <c r="H39" s="24">
        <v>42035</v>
      </c>
      <c r="I39" s="18">
        <v>43721</v>
      </c>
      <c r="J39" s="19" t="s">
        <v>49</v>
      </c>
      <c r="K39" s="19" t="s">
        <v>45</v>
      </c>
      <c r="L39" s="20">
        <f>0.324*365/1000</f>
        <v>0.11826</v>
      </c>
      <c r="M39" s="19">
        <f t="shared" si="0"/>
        <v>1</v>
      </c>
      <c r="N39" s="21"/>
      <c r="O39" s="22"/>
    </row>
    <row r="40" spans="1:15" s="25" customFormat="1" ht="15" customHeight="1" x14ac:dyDescent="0.35">
      <c r="A40" s="17" t="s">
        <v>63</v>
      </c>
      <c r="B40" s="17" t="s">
        <v>78</v>
      </c>
      <c r="C40" s="17" t="s">
        <v>79</v>
      </c>
      <c r="D40" s="17" t="s">
        <v>63</v>
      </c>
      <c r="E40" s="17" t="s">
        <v>43</v>
      </c>
      <c r="F40" s="17" t="s">
        <v>14</v>
      </c>
      <c r="G40" s="23">
        <v>1030003523</v>
      </c>
      <c r="H40" s="24">
        <v>41725</v>
      </c>
      <c r="I40" s="18">
        <v>43721</v>
      </c>
      <c r="J40" s="19" t="s">
        <v>44</v>
      </c>
      <c r="K40" s="19" t="s">
        <v>44</v>
      </c>
      <c r="L40" s="20">
        <f>0*365/1000</f>
        <v>0</v>
      </c>
      <c r="M40" s="19">
        <f t="shared" si="0"/>
        <v>0</v>
      </c>
      <c r="N40" s="21"/>
      <c r="O40" s="22"/>
    </row>
    <row r="41" spans="1:15" s="25" customFormat="1" ht="15" customHeight="1" x14ac:dyDescent="0.35">
      <c r="A41" s="17" t="s">
        <v>63</v>
      </c>
      <c r="B41" s="17" t="s">
        <v>80</v>
      </c>
      <c r="C41" s="17" t="s">
        <v>81</v>
      </c>
      <c r="D41" s="17" t="s">
        <v>63</v>
      </c>
      <c r="E41" s="17" t="s">
        <v>43</v>
      </c>
      <c r="F41" s="17" t="s">
        <v>14</v>
      </c>
      <c r="G41" s="23">
        <v>1030008716</v>
      </c>
      <c r="H41" s="24">
        <v>41725</v>
      </c>
      <c r="I41" s="18">
        <v>43721</v>
      </c>
      <c r="J41" s="19" t="s">
        <v>49</v>
      </c>
      <c r="K41" s="19" t="s">
        <v>45</v>
      </c>
      <c r="L41" s="20">
        <f>0.251*365/1000</f>
        <v>9.1614999999999988E-2</v>
      </c>
      <c r="M41" s="19">
        <f t="shared" si="0"/>
        <v>1</v>
      </c>
      <c r="N41" s="21"/>
      <c r="O41" s="22"/>
    </row>
    <row r="42" spans="1:15" s="25" customFormat="1" ht="15" customHeight="1" x14ac:dyDescent="0.35">
      <c r="A42" s="17" t="s">
        <v>63</v>
      </c>
      <c r="B42" s="17" t="s">
        <v>82</v>
      </c>
      <c r="C42" s="17" t="s">
        <v>83</v>
      </c>
      <c r="D42" s="17" t="s">
        <v>63</v>
      </c>
      <c r="E42" s="17" t="s">
        <v>43</v>
      </c>
      <c r="F42" s="17" t="s">
        <v>14</v>
      </c>
      <c r="G42" s="23">
        <v>1030000739</v>
      </c>
      <c r="H42" s="24">
        <v>41725</v>
      </c>
      <c r="I42" s="18">
        <v>43721</v>
      </c>
      <c r="J42" s="19" t="s">
        <v>44</v>
      </c>
      <c r="K42" s="19" t="s">
        <v>45</v>
      </c>
      <c r="L42" s="20">
        <f>0.423*365/1000</f>
        <v>0.15439499999999998</v>
      </c>
      <c r="M42" s="19">
        <f t="shared" si="0"/>
        <v>0</v>
      </c>
      <c r="N42" s="21"/>
      <c r="O42" s="22"/>
    </row>
    <row r="43" spans="1:15" s="25" customFormat="1" ht="15" customHeight="1" x14ac:dyDescent="0.35">
      <c r="A43" s="17" t="s">
        <v>63</v>
      </c>
      <c r="B43" s="17" t="s">
        <v>84</v>
      </c>
      <c r="C43" s="17" t="s">
        <v>85</v>
      </c>
      <c r="D43" s="17" t="s">
        <v>63</v>
      </c>
      <c r="E43" s="17" t="s">
        <v>43</v>
      </c>
      <c r="F43" s="17" t="s">
        <v>14</v>
      </c>
      <c r="G43" s="23">
        <v>1030001872</v>
      </c>
      <c r="H43" s="24">
        <v>41725</v>
      </c>
      <c r="I43" s="18">
        <v>43721</v>
      </c>
      <c r="J43" s="19" t="s">
        <v>49</v>
      </c>
      <c r="K43" s="19" t="s">
        <v>45</v>
      </c>
      <c r="L43" s="20">
        <f>0.325*365/1000</f>
        <v>0.11862499999999999</v>
      </c>
      <c r="M43" s="19">
        <f t="shared" si="0"/>
        <v>1</v>
      </c>
      <c r="N43" s="21"/>
      <c r="O43" s="22"/>
    </row>
    <row r="44" spans="1:15" s="25" customFormat="1" ht="15" customHeight="1" x14ac:dyDescent="0.35">
      <c r="A44" s="17" t="s">
        <v>63</v>
      </c>
      <c r="B44" s="17" t="s">
        <v>86</v>
      </c>
      <c r="C44" s="17" t="s">
        <v>87</v>
      </c>
      <c r="D44" s="17" t="s">
        <v>63</v>
      </c>
      <c r="E44" s="17" t="s">
        <v>43</v>
      </c>
      <c r="F44" s="17" t="s">
        <v>14</v>
      </c>
      <c r="G44" s="23">
        <v>1030007994</v>
      </c>
      <c r="H44" s="24">
        <v>41785</v>
      </c>
      <c r="I44" s="18">
        <v>43721</v>
      </c>
      <c r="J44" s="19" t="s">
        <v>49</v>
      </c>
      <c r="K44" s="19" t="s">
        <v>45</v>
      </c>
      <c r="L44" s="20">
        <f>0.522*365/1000</f>
        <v>0.19053</v>
      </c>
      <c r="M44" s="19">
        <f t="shared" si="0"/>
        <v>1</v>
      </c>
      <c r="N44" s="21"/>
      <c r="O44" s="22"/>
    </row>
    <row r="45" spans="1:15" s="25" customFormat="1" ht="15" customHeight="1" x14ac:dyDescent="0.35">
      <c r="A45" s="17" t="s">
        <v>63</v>
      </c>
      <c r="B45" s="17" t="s">
        <v>88</v>
      </c>
      <c r="C45" s="17" t="s">
        <v>89</v>
      </c>
      <c r="D45" s="17" t="s">
        <v>63</v>
      </c>
      <c r="E45" s="17" t="s">
        <v>43</v>
      </c>
      <c r="F45" s="17" t="s">
        <v>14</v>
      </c>
      <c r="G45" s="23">
        <v>1030007074</v>
      </c>
      <c r="H45" s="24">
        <v>41725</v>
      </c>
      <c r="I45" s="18">
        <v>43721</v>
      </c>
      <c r="J45" s="19" t="s">
        <v>49</v>
      </c>
      <c r="K45" s="19" t="s">
        <v>45</v>
      </c>
      <c r="L45" s="20">
        <f>0.342*365/1000</f>
        <v>0.12483000000000001</v>
      </c>
      <c r="M45" s="19">
        <f t="shared" si="0"/>
        <v>1</v>
      </c>
      <c r="N45" s="21"/>
      <c r="O45" s="22"/>
    </row>
    <row r="46" spans="1:15" s="25" customFormat="1" ht="15" customHeight="1" x14ac:dyDescent="0.35">
      <c r="A46" s="17" t="s">
        <v>63</v>
      </c>
      <c r="B46" s="17" t="s">
        <v>90</v>
      </c>
      <c r="C46" s="17" t="s">
        <v>91</v>
      </c>
      <c r="D46" s="17" t="s">
        <v>63</v>
      </c>
      <c r="E46" s="17" t="s">
        <v>43</v>
      </c>
      <c r="F46" s="17" t="s">
        <v>14</v>
      </c>
      <c r="G46" s="23">
        <v>1030000988</v>
      </c>
      <c r="H46" s="24">
        <v>41764</v>
      </c>
      <c r="I46" s="18">
        <v>43721</v>
      </c>
      <c r="J46" s="19" t="s">
        <v>49</v>
      </c>
      <c r="K46" s="19" t="s">
        <v>45</v>
      </c>
      <c r="L46" s="20">
        <f>0.312*365/1000</f>
        <v>0.11388</v>
      </c>
      <c r="M46" s="19">
        <f t="shared" si="0"/>
        <v>1</v>
      </c>
      <c r="N46" s="21"/>
      <c r="O46" s="22"/>
    </row>
    <row r="47" spans="1:15" s="25" customFormat="1" ht="15" customHeight="1" x14ac:dyDescent="0.35">
      <c r="A47" s="17" t="s">
        <v>63</v>
      </c>
      <c r="B47" s="17" t="s">
        <v>92</v>
      </c>
      <c r="C47" s="17" t="s">
        <v>93</v>
      </c>
      <c r="D47" s="17" t="s">
        <v>63</v>
      </c>
      <c r="E47" s="17" t="s">
        <v>43</v>
      </c>
      <c r="F47" s="17" t="s">
        <v>14</v>
      </c>
      <c r="G47" s="23">
        <v>1030002936</v>
      </c>
      <c r="H47" s="24">
        <v>41725</v>
      </c>
      <c r="I47" s="18">
        <v>43721</v>
      </c>
      <c r="J47" s="19" t="s">
        <v>49</v>
      </c>
      <c r="K47" s="19" t="s">
        <v>45</v>
      </c>
      <c r="L47" s="20">
        <f>0.281*365/1000</f>
        <v>0.10256500000000002</v>
      </c>
      <c r="M47" s="19">
        <f t="shared" si="0"/>
        <v>1</v>
      </c>
      <c r="N47" s="21"/>
      <c r="O47" s="22"/>
    </row>
    <row r="48" spans="1:15" s="25" customFormat="1" ht="15" customHeight="1" x14ac:dyDescent="0.35">
      <c r="A48" s="17" t="s">
        <v>94</v>
      </c>
      <c r="B48" s="17" t="s">
        <v>95</v>
      </c>
      <c r="C48" s="17" t="s">
        <v>96</v>
      </c>
      <c r="D48" s="17" t="s">
        <v>94</v>
      </c>
      <c r="E48" s="17" t="s">
        <v>43</v>
      </c>
      <c r="F48" s="17" t="s">
        <v>14</v>
      </c>
      <c r="G48" s="23">
        <v>2310000355</v>
      </c>
      <c r="H48" s="24">
        <v>41787</v>
      </c>
      <c r="I48" s="18">
        <v>43723</v>
      </c>
      <c r="J48" s="19" t="s">
        <v>49</v>
      </c>
      <c r="K48" s="19" t="s">
        <v>45</v>
      </c>
      <c r="L48" s="20">
        <f>0.271*365/1000</f>
        <v>9.8915000000000003E-2</v>
      </c>
      <c r="M48" s="19">
        <f t="shared" si="0"/>
        <v>1</v>
      </c>
      <c r="N48" s="21"/>
      <c r="O48" s="22"/>
    </row>
    <row r="49" spans="1:15" s="25" customFormat="1" ht="15" customHeight="1" x14ac:dyDescent="0.35">
      <c r="A49" s="17" t="s">
        <v>94</v>
      </c>
      <c r="B49" s="17" t="s">
        <v>97</v>
      </c>
      <c r="C49" s="17" t="s">
        <v>98</v>
      </c>
      <c r="D49" s="17" t="s">
        <v>94</v>
      </c>
      <c r="E49" s="17" t="s">
        <v>43</v>
      </c>
      <c r="F49" s="17" t="s">
        <v>14</v>
      </c>
      <c r="G49" s="23">
        <v>2310002517</v>
      </c>
      <c r="H49" s="24">
        <v>41727</v>
      </c>
      <c r="I49" s="18">
        <v>43723</v>
      </c>
      <c r="J49" s="19" t="s">
        <v>44</v>
      </c>
      <c r="K49" s="19" t="s">
        <v>44</v>
      </c>
      <c r="L49" s="20">
        <v>0</v>
      </c>
      <c r="M49" s="19">
        <f t="shared" si="0"/>
        <v>0</v>
      </c>
      <c r="N49" s="21"/>
      <c r="O49" s="22"/>
    </row>
    <row r="50" spans="1:15" s="25" customFormat="1" ht="15" customHeight="1" x14ac:dyDescent="0.35">
      <c r="A50" s="17" t="s">
        <v>94</v>
      </c>
      <c r="B50" s="17" t="s">
        <v>99</v>
      </c>
      <c r="C50" s="17" t="s">
        <v>100</v>
      </c>
      <c r="D50" s="17" t="s">
        <v>94</v>
      </c>
      <c r="E50" s="17" t="s">
        <v>43</v>
      </c>
      <c r="F50" s="17" t="s">
        <v>14</v>
      </c>
      <c r="G50" s="23">
        <v>2310003282</v>
      </c>
      <c r="H50" s="24">
        <v>41727</v>
      </c>
      <c r="I50" s="18">
        <v>43723</v>
      </c>
      <c r="J50" s="19" t="s">
        <v>49</v>
      </c>
      <c r="K50" s="19" t="s">
        <v>45</v>
      </c>
      <c r="L50" s="20">
        <f>0.411*365/1000</f>
        <v>0.15001499999999998</v>
      </c>
      <c r="M50" s="19">
        <f t="shared" si="0"/>
        <v>1</v>
      </c>
      <c r="N50" s="21"/>
      <c r="O50" s="22"/>
    </row>
    <row r="51" spans="1:15" ht="15" customHeight="1" x14ac:dyDescent="0.35">
      <c r="A51" s="17" t="s">
        <v>94</v>
      </c>
      <c r="B51" s="17" t="s">
        <v>101</v>
      </c>
      <c r="C51" s="17" t="s">
        <v>102</v>
      </c>
      <c r="D51" s="17" t="s">
        <v>94</v>
      </c>
      <c r="E51" s="17" t="s">
        <v>43</v>
      </c>
      <c r="F51" s="17" t="s">
        <v>14</v>
      </c>
      <c r="G51" s="23">
        <v>2310002864</v>
      </c>
      <c r="H51" s="24">
        <v>41734</v>
      </c>
      <c r="I51" s="18">
        <v>43723</v>
      </c>
      <c r="J51" s="19" t="s">
        <v>49</v>
      </c>
      <c r="K51" s="19" t="s">
        <v>45</v>
      </c>
      <c r="L51" s="20">
        <f>0.473*365/1000</f>
        <v>0.17264499999999999</v>
      </c>
      <c r="M51" s="19">
        <f t="shared" si="0"/>
        <v>1</v>
      </c>
      <c r="N51" s="21"/>
      <c r="O51" s="22"/>
    </row>
    <row r="52" spans="1:15" ht="15" customHeight="1" x14ac:dyDescent="0.35">
      <c r="A52" s="17" t="s">
        <v>94</v>
      </c>
      <c r="B52" s="17" t="s">
        <v>103</v>
      </c>
      <c r="C52" s="17" t="s">
        <v>104</v>
      </c>
      <c r="D52" s="17" t="s">
        <v>94</v>
      </c>
      <c r="E52" s="17" t="s">
        <v>43</v>
      </c>
      <c r="F52" s="17" t="s">
        <v>14</v>
      </c>
      <c r="G52" s="23">
        <v>2310001457</v>
      </c>
      <c r="H52" s="24">
        <v>41789</v>
      </c>
      <c r="I52" s="18">
        <v>43723</v>
      </c>
      <c r="J52" s="19" t="s">
        <v>49</v>
      </c>
      <c r="K52" s="19" t="s">
        <v>45</v>
      </c>
      <c r="L52" s="20">
        <f>0.298*365/1000</f>
        <v>0.10876999999999999</v>
      </c>
      <c r="M52" s="19">
        <f t="shared" si="0"/>
        <v>1</v>
      </c>
      <c r="N52" s="21"/>
      <c r="O52" s="22"/>
    </row>
    <row r="53" spans="1:15" ht="15" customHeight="1" x14ac:dyDescent="0.35">
      <c r="A53" s="17" t="s">
        <v>94</v>
      </c>
      <c r="B53" s="17" t="s">
        <v>105</v>
      </c>
      <c r="C53" s="17" t="s">
        <v>106</v>
      </c>
      <c r="D53" s="17" t="s">
        <v>94</v>
      </c>
      <c r="E53" s="17" t="s">
        <v>43</v>
      </c>
      <c r="F53" s="17" t="s">
        <v>14</v>
      </c>
      <c r="G53" s="23">
        <v>2310001367</v>
      </c>
      <c r="H53" s="24">
        <v>41726</v>
      </c>
      <c r="I53" s="18">
        <v>43723</v>
      </c>
      <c r="J53" s="19" t="s">
        <v>49</v>
      </c>
      <c r="K53" s="19" t="s">
        <v>45</v>
      </c>
      <c r="L53" s="20">
        <f>0.395*365/1000</f>
        <v>0.144175</v>
      </c>
      <c r="M53" s="19">
        <f t="shared" si="0"/>
        <v>1</v>
      </c>
      <c r="N53" s="21"/>
      <c r="O53" s="22"/>
    </row>
    <row r="54" spans="1:15" ht="15" customHeight="1" x14ac:dyDescent="0.35">
      <c r="A54" s="17" t="s">
        <v>94</v>
      </c>
      <c r="B54" s="17" t="s">
        <v>107</v>
      </c>
      <c r="C54" s="17" t="s">
        <v>108</v>
      </c>
      <c r="D54" s="17" t="s">
        <v>94</v>
      </c>
      <c r="E54" s="17" t="s">
        <v>43</v>
      </c>
      <c r="F54" s="17" t="s">
        <v>14</v>
      </c>
      <c r="G54" s="23">
        <v>2310001766</v>
      </c>
      <c r="H54" s="24">
        <v>41768</v>
      </c>
      <c r="I54" s="18">
        <v>43723</v>
      </c>
      <c r="J54" s="19" t="s">
        <v>49</v>
      </c>
      <c r="K54" s="19" t="s">
        <v>44</v>
      </c>
      <c r="L54" s="20">
        <f>0*365/1000</f>
        <v>0</v>
      </c>
      <c r="M54" s="19">
        <f t="shared" si="0"/>
        <v>1</v>
      </c>
      <c r="N54" s="21"/>
      <c r="O54" s="22"/>
    </row>
    <row r="55" spans="1:15" ht="15" customHeight="1" x14ac:dyDescent="0.35">
      <c r="A55" s="17" t="s">
        <v>94</v>
      </c>
      <c r="B55" s="17" t="s">
        <v>109</v>
      </c>
      <c r="C55" s="17" t="s">
        <v>110</v>
      </c>
      <c r="D55" s="17" t="s">
        <v>94</v>
      </c>
      <c r="E55" s="17" t="s">
        <v>43</v>
      </c>
      <c r="F55" s="17" t="s">
        <v>14</v>
      </c>
      <c r="G55" s="23">
        <v>2310000028</v>
      </c>
      <c r="H55" s="24">
        <v>41727</v>
      </c>
      <c r="I55" s="18">
        <v>43723</v>
      </c>
      <c r="J55" s="19" t="s">
        <v>49</v>
      </c>
      <c r="K55" s="19" t="s">
        <v>45</v>
      </c>
      <c r="L55" s="20">
        <f>0.67*365/1000</f>
        <v>0.24455000000000002</v>
      </c>
      <c r="M55" s="19">
        <f t="shared" si="0"/>
        <v>1</v>
      </c>
      <c r="N55" s="21"/>
      <c r="O55" s="22"/>
    </row>
    <row r="56" spans="1:15" s="28" customFormat="1" ht="15" customHeight="1" x14ac:dyDescent="0.35">
      <c r="A56" s="17" t="s">
        <v>94</v>
      </c>
      <c r="B56" s="17" t="s">
        <v>111</v>
      </c>
      <c r="C56" s="17" t="s">
        <v>112</v>
      </c>
      <c r="D56" s="17" t="s">
        <v>94</v>
      </c>
      <c r="E56" s="17" t="s">
        <v>43</v>
      </c>
      <c r="F56" s="17" t="s">
        <v>14</v>
      </c>
      <c r="G56" s="23">
        <v>2310001622</v>
      </c>
      <c r="H56" s="24">
        <v>41766</v>
      </c>
      <c r="I56" s="18">
        <v>43723</v>
      </c>
      <c r="J56" s="19" t="s">
        <v>49</v>
      </c>
      <c r="K56" s="19" t="s">
        <v>45</v>
      </c>
      <c r="L56" s="26">
        <f>0.534*365/1000</f>
        <v>0.19491000000000003</v>
      </c>
      <c r="M56" s="27">
        <f t="shared" si="0"/>
        <v>1</v>
      </c>
      <c r="O56" s="22"/>
    </row>
    <row r="57" spans="1:15" s="25" customFormat="1" ht="15" customHeight="1" x14ac:dyDescent="0.35">
      <c r="A57" s="17" t="s">
        <v>94</v>
      </c>
      <c r="B57" s="17" t="s">
        <v>113</v>
      </c>
      <c r="C57" s="17" t="s">
        <v>114</v>
      </c>
      <c r="D57" s="17" t="s">
        <v>94</v>
      </c>
      <c r="E57" s="17" t="s">
        <v>43</v>
      </c>
      <c r="F57" s="17" t="s">
        <v>14</v>
      </c>
      <c r="G57" s="23">
        <v>2310001885</v>
      </c>
      <c r="H57" s="24">
        <v>41785</v>
      </c>
      <c r="I57" s="18">
        <v>43723</v>
      </c>
      <c r="J57" s="19" t="s">
        <v>49</v>
      </c>
      <c r="K57" s="19" t="s">
        <v>45</v>
      </c>
      <c r="L57" s="20">
        <f>0.264*365/1000</f>
        <v>9.6360000000000001E-2</v>
      </c>
      <c r="M57" s="19">
        <f t="shared" si="0"/>
        <v>1</v>
      </c>
      <c r="N57" s="21"/>
      <c r="O57" s="22"/>
    </row>
    <row r="58" spans="1:15" s="25" customFormat="1" ht="15" customHeight="1" x14ac:dyDescent="0.35">
      <c r="A58" s="17" t="s">
        <v>94</v>
      </c>
      <c r="B58" s="17" t="s">
        <v>115</v>
      </c>
      <c r="C58" s="17" t="s">
        <v>116</v>
      </c>
      <c r="D58" s="17" t="s">
        <v>94</v>
      </c>
      <c r="E58" s="17" t="s">
        <v>43</v>
      </c>
      <c r="F58" s="17" t="s">
        <v>14</v>
      </c>
      <c r="G58" s="23">
        <v>2310001759</v>
      </c>
      <c r="H58" s="24">
        <v>41768</v>
      </c>
      <c r="I58" s="18">
        <v>43723</v>
      </c>
      <c r="J58" s="19" t="s">
        <v>49</v>
      </c>
      <c r="K58" s="19" t="s">
        <v>45</v>
      </c>
      <c r="L58" s="20">
        <f>0.439*365/1000</f>
        <v>0.16023500000000002</v>
      </c>
      <c r="M58" s="19">
        <f t="shared" si="0"/>
        <v>1</v>
      </c>
      <c r="N58" s="21"/>
      <c r="O58" s="22"/>
    </row>
    <row r="59" spans="1:15" s="25" customFormat="1" ht="15" customHeight="1" x14ac:dyDescent="0.35">
      <c r="A59" s="17" t="s">
        <v>94</v>
      </c>
      <c r="B59" s="17" t="s">
        <v>117</v>
      </c>
      <c r="C59" s="17" t="s">
        <v>118</v>
      </c>
      <c r="D59" s="17" t="s">
        <v>94</v>
      </c>
      <c r="E59" s="17" t="s">
        <v>43</v>
      </c>
      <c r="F59" s="17" t="s">
        <v>14</v>
      </c>
      <c r="G59" s="23">
        <v>2310000112</v>
      </c>
      <c r="H59" s="24">
        <v>41762</v>
      </c>
      <c r="I59" s="18">
        <v>43723</v>
      </c>
      <c r="J59" s="19" t="s">
        <v>49</v>
      </c>
      <c r="K59" s="19" t="s">
        <v>45</v>
      </c>
      <c r="L59" s="20">
        <f>0.35*365/1000</f>
        <v>0.12774999999999997</v>
      </c>
      <c r="M59" s="19">
        <f t="shared" si="0"/>
        <v>1</v>
      </c>
      <c r="N59" s="21"/>
      <c r="O59" s="22"/>
    </row>
    <row r="60" spans="1:15" s="25" customFormat="1" ht="15" customHeight="1" x14ac:dyDescent="0.35">
      <c r="A60" s="17" t="s">
        <v>94</v>
      </c>
      <c r="B60" s="17" t="s">
        <v>119</v>
      </c>
      <c r="C60" s="17" t="s">
        <v>120</v>
      </c>
      <c r="D60" s="17" t="s">
        <v>94</v>
      </c>
      <c r="E60" s="17" t="s">
        <v>43</v>
      </c>
      <c r="F60" s="17" t="s">
        <v>14</v>
      </c>
      <c r="G60" s="23">
        <v>2310002400</v>
      </c>
      <c r="H60" s="24">
        <v>41726</v>
      </c>
      <c r="I60" s="18">
        <v>43723</v>
      </c>
      <c r="J60" s="19" t="s">
        <v>44</v>
      </c>
      <c r="K60" s="19" t="s">
        <v>44</v>
      </c>
      <c r="L60" s="20">
        <f>0*365/1000</f>
        <v>0</v>
      </c>
      <c r="M60" s="19">
        <f t="shared" si="0"/>
        <v>0</v>
      </c>
      <c r="N60" s="21"/>
      <c r="O60" s="22"/>
    </row>
    <row r="61" spans="1:15" s="25" customFormat="1" ht="15" customHeight="1" x14ac:dyDescent="0.35">
      <c r="A61" s="17" t="s">
        <v>94</v>
      </c>
      <c r="B61" s="17" t="s">
        <v>121</v>
      </c>
      <c r="C61" s="17" t="s">
        <v>122</v>
      </c>
      <c r="D61" s="17" t="s">
        <v>94</v>
      </c>
      <c r="E61" s="17" t="s">
        <v>43</v>
      </c>
      <c r="F61" s="17" t="s">
        <v>14</v>
      </c>
      <c r="G61" s="23">
        <v>2310001032</v>
      </c>
      <c r="H61" s="24">
        <v>41726</v>
      </c>
      <c r="I61" s="18">
        <v>43723</v>
      </c>
      <c r="J61" s="19" t="s">
        <v>49</v>
      </c>
      <c r="K61" s="19" t="s">
        <v>45</v>
      </c>
      <c r="L61" s="20">
        <f>0.411*365/1000</f>
        <v>0.15001499999999998</v>
      </c>
      <c r="M61" s="19">
        <f t="shared" si="0"/>
        <v>1</v>
      </c>
      <c r="N61" s="21"/>
      <c r="O61" s="22"/>
    </row>
    <row r="62" spans="1:15" s="25" customFormat="1" ht="15" customHeight="1" x14ac:dyDescent="0.35">
      <c r="A62" s="17" t="s">
        <v>94</v>
      </c>
      <c r="B62" s="17" t="s">
        <v>123</v>
      </c>
      <c r="C62" s="17" t="s">
        <v>124</v>
      </c>
      <c r="D62" s="17" t="s">
        <v>94</v>
      </c>
      <c r="E62" s="17" t="s">
        <v>43</v>
      </c>
      <c r="F62" s="17" t="s">
        <v>14</v>
      </c>
      <c r="G62" s="23">
        <v>2310001470</v>
      </c>
      <c r="H62" s="24">
        <v>41762</v>
      </c>
      <c r="I62" s="18">
        <v>43723</v>
      </c>
      <c r="J62" s="19" t="s">
        <v>49</v>
      </c>
      <c r="K62" s="19" t="s">
        <v>45</v>
      </c>
      <c r="L62" s="20">
        <f>0.299*365/1000</f>
        <v>0.109135</v>
      </c>
      <c r="M62" s="19">
        <f t="shared" si="0"/>
        <v>1</v>
      </c>
      <c r="N62" s="21"/>
      <c r="O62" s="22"/>
    </row>
    <row r="63" spans="1:15" ht="15" customHeight="1" x14ac:dyDescent="0.35">
      <c r="A63" s="17" t="s">
        <v>125</v>
      </c>
      <c r="B63" s="17" t="s">
        <v>126</v>
      </c>
      <c r="C63" s="17" t="s">
        <v>127</v>
      </c>
      <c r="D63" s="17" t="s">
        <v>125</v>
      </c>
      <c r="E63" s="17" t="s">
        <v>43</v>
      </c>
      <c r="F63" s="17" t="s">
        <v>14</v>
      </c>
      <c r="G63" s="23">
        <v>2140003256</v>
      </c>
      <c r="H63" s="24">
        <v>42068</v>
      </c>
      <c r="I63" s="18">
        <v>43724</v>
      </c>
      <c r="J63" s="19" t="s">
        <v>49</v>
      </c>
      <c r="K63" s="19" t="s">
        <v>45</v>
      </c>
      <c r="L63" s="20">
        <f>0.267*365/1000</f>
        <v>9.7455000000000014E-2</v>
      </c>
      <c r="M63" s="19">
        <f t="shared" si="0"/>
        <v>1</v>
      </c>
      <c r="N63" s="21"/>
      <c r="O63" s="22"/>
    </row>
    <row r="64" spans="1:15" ht="15" customHeight="1" x14ac:dyDescent="0.35">
      <c r="A64" s="17" t="s">
        <v>125</v>
      </c>
      <c r="B64" s="17" t="s">
        <v>128</v>
      </c>
      <c r="C64" s="17" t="s">
        <v>129</v>
      </c>
      <c r="D64" s="17" t="s">
        <v>125</v>
      </c>
      <c r="E64" s="17" t="s">
        <v>43</v>
      </c>
      <c r="F64" s="17" t="s">
        <v>14</v>
      </c>
      <c r="G64" s="23">
        <v>2140001601</v>
      </c>
      <c r="H64" s="24">
        <v>41740</v>
      </c>
      <c r="I64" s="18">
        <v>43724</v>
      </c>
      <c r="J64" s="19" t="s">
        <v>49</v>
      </c>
      <c r="K64" s="19" t="s">
        <v>45</v>
      </c>
      <c r="L64" s="20">
        <f>0.488*365/1000</f>
        <v>0.17812</v>
      </c>
      <c r="M64" s="19">
        <f t="shared" si="0"/>
        <v>1</v>
      </c>
      <c r="N64" s="21"/>
      <c r="O64" s="22"/>
    </row>
    <row r="65" spans="1:15" ht="15" customHeight="1" x14ac:dyDescent="0.35">
      <c r="A65" s="17" t="s">
        <v>125</v>
      </c>
      <c r="B65" s="17" t="s">
        <v>130</v>
      </c>
      <c r="C65" s="17" t="s">
        <v>131</v>
      </c>
      <c r="D65" s="17" t="s">
        <v>125</v>
      </c>
      <c r="E65" s="17" t="s">
        <v>43</v>
      </c>
      <c r="F65" s="17" t="s">
        <v>14</v>
      </c>
      <c r="G65" s="23">
        <v>2140001735</v>
      </c>
      <c r="H65" s="29">
        <v>41738</v>
      </c>
      <c r="I65" s="18">
        <v>43724</v>
      </c>
      <c r="J65" s="19" t="s">
        <v>49</v>
      </c>
      <c r="K65" s="19" t="s">
        <v>44</v>
      </c>
      <c r="L65" s="20">
        <f>0*365/1000</f>
        <v>0</v>
      </c>
      <c r="M65" s="19">
        <f t="shared" si="0"/>
        <v>1</v>
      </c>
      <c r="N65" s="21"/>
      <c r="O65" s="22"/>
    </row>
    <row r="66" spans="1:15" ht="15" customHeight="1" x14ac:dyDescent="0.35">
      <c r="A66" s="17" t="s">
        <v>125</v>
      </c>
      <c r="B66" s="17" t="s">
        <v>132</v>
      </c>
      <c r="C66" s="17" t="s">
        <v>133</v>
      </c>
      <c r="D66" s="17" t="s">
        <v>125</v>
      </c>
      <c r="E66" s="17" t="s">
        <v>43</v>
      </c>
      <c r="F66" s="17" t="s">
        <v>14</v>
      </c>
      <c r="G66" s="23">
        <v>2140001741</v>
      </c>
      <c r="H66" s="24">
        <v>41738</v>
      </c>
      <c r="I66" s="18">
        <v>43724</v>
      </c>
      <c r="J66" s="19" t="s">
        <v>49</v>
      </c>
      <c r="K66" s="19" t="s">
        <v>45</v>
      </c>
      <c r="L66" s="20">
        <f>0.324*365/1000</f>
        <v>0.11826</v>
      </c>
      <c r="M66" s="19">
        <f t="shared" si="0"/>
        <v>1</v>
      </c>
      <c r="N66" s="21"/>
      <c r="O66" s="22"/>
    </row>
    <row r="67" spans="1:15" ht="15" customHeight="1" x14ac:dyDescent="0.35">
      <c r="A67" s="17" t="s">
        <v>125</v>
      </c>
      <c r="B67" s="17" t="s">
        <v>134</v>
      </c>
      <c r="C67" s="17" t="s">
        <v>135</v>
      </c>
      <c r="D67" s="17" t="s">
        <v>125</v>
      </c>
      <c r="E67" s="17" t="s">
        <v>43</v>
      </c>
      <c r="F67" s="17" t="s">
        <v>14</v>
      </c>
      <c r="G67" s="23">
        <v>2140000336</v>
      </c>
      <c r="H67" s="24">
        <v>41795</v>
      </c>
      <c r="I67" s="18">
        <v>43724</v>
      </c>
      <c r="J67" s="19" t="s">
        <v>49</v>
      </c>
      <c r="K67" s="19" t="s">
        <v>45</v>
      </c>
      <c r="L67" s="20">
        <f>0.682*365/1000</f>
        <v>0.24893000000000001</v>
      </c>
      <c r="M67" s="19">
        <f t="shared" si="0"/>
        <v>1</v>
      </c>
      <c r="N67" s="21"/>
      <c r="O67" s="22"/>
    </row>
    <row r="68" spans="1:15" ht="15" customHeight="1" x14ac:dyDescent="0.35">
      <c r="A68" s="17" t="s">
        <v>125</v>
      </c>
      <c r="B68" s="17" t="s">
        <v>136</v>
      </c>
      <c r="C68" s="17" t="s">
        <v>137</v>
      </c>
      <c r="D68" s="17" t="s">
        <v>125</v>
      </c>
      <c r="E68" s="17" t="s">
        <v>43</v>
      </c>
      <c r="F68" s="17" t="s">
        <v>14</v>
      </c>
      <c r="G68" s="23">
        <v>2140001749</v>
      </c>
      <c r="H68" s="24">
        <v>41738</v>
      </c>
      <c r="I68" s="18">
        <v>43724</v>
      </c>
      <c r="J68" s="19" t="s">
        <v>49</v>
      </c>
      <c r="K68" s="19" t="s">
        <v>45</v>
      </c>
      <c r="L68" s="20">
        <f>0.449*365/1000</f>
        <v>0.163885</v>
      </c>
      <c r="M68" s="19">
        <f t="shared" si="0"/>
        <v>1</v>
      </c>
      <c r="N68" s="21"/>
      <c r="O68" s="22"/>
    </row>
    <row r="69" spans="1:15" ht="15" customHeight="1" x14ac:dyDescent="0.35">
      <c r="A69" s="17" t="s">
        <v>125</v>
      </c>
      <c r="B69" s="17" t="s">
        <v>138</v>
      </c>
      <c r="C69" s="17" t="s">
        <v>139</v>
      </c>
      <c r="D69" s="17" t="s">
        <v>125</v>
      </c>
      <c r="E69" s="17" t="s">
        <v>43</v>
      </c>
      <c r="F69" s="17" t="s">
        <v>14</v>
      </c>
      <c r="G69" s="23">
        <v>2140000424</v>
      </c>
      <c r="H69" s="24">
        <v>41795</v>
      </c>
      <c r="I69" s="18">
        <v>43724</v>
      </c>
      <c r="J69" s="19" t="s">
        <v>49</v>
      </c>
      <c r="K69" s="19" t="s">
        <v>45</v>
      </c>
      <c r="L69" s="20">
        <f>0.316*365/1000</f>
        <v>0.11534</v>
      </c>
      <c r="M69" s="19">
        <f t="shared" si="0"/>
        <v>1</v>
      </c>
      <c r="N69" s="21"/>
      <c r="O69" s="22"/>
    </row>
    <row r="70" spans="1:15" s="30" customFormat="1" ht="15" customHeight="1" x14ac:dyDescent="0.35">
      <c r="A70" s="17" t="s">
        <v>125</v>
      </c>
      <c r="B70" s="17" t="s">
        <v>140</v>
      </c>
      <c r="C70" s="17" t="s">
        <v>141</v>
      </c>
      <c r="D70" s="17" t="s">
        <v>125</v>
      </c>
      <c r="E70" s="17" t="s">
        <v>43</v>
      </c>
      <c r="F70" s="17" t="s">
        <v>14</v>
      </c>
      <c r="G70" s="23">
        <v>2140001746</v>
      </c>
      <c r="H70" s="24">
        <v>41738</v>
      </c>
      <c r="I70" s="18">
        <v>43724</v>
      </c>
      <c r="J70" s="19" t="s">
        <v>44</v>
      </c>
      <c r="K70" s="19" t="s">
        <v>45</v>
      </c>
      <c r="L70" s="20">
        <f>0.389*365/1000</f>
        <v>0.141985</v>
      </c>
      <c r="M70" s="19">
        <f t="shared" si="0"/>
        <v>0</v>
      </c>
      <c r="N70" s="21"/>
      <c r="O70" s="22"/>
    </row>
    <row r="71" spans="1:15" ht="15" customHeight="1" x14ac:dyDescent="0.35">
      <c r="A71" s="17" t="s">
        <v>125</v>
      </c>
      <c r="B71" s="17" t="s">
        <v>142</v>
      </c>
      <c r="C71" s="17" t="s">
        <v>143</v>
      </c>
      <c r="D71" s="17" t="s">
        <v>125</v>
      </c>
      <c r="E71" s="17" t="s">
        <v>43</v>
      </c>
      <c r="F71" s="17" t="s">
        <v>14</v>
      </c>
      <c r="G71" s="23">
        <v>2140000761</v>
      </c>
      <c r="H71" s="24">
        <v>41757</v>
      </c>
      <c r="I71" s="18">
        <v>43724</v>
      </c>
      <c r="J71" s="19" t="s">
        <v>49</v>
      </c>
      <c r="K71" s="19" t="s">
        <v>45</v>
      </c>
      <c r="L71" s="20">
        <f>0.385*365/1000</f>
        <v>0.14052500000000001</v>
      </c>
      <c r="M71" s="19">
        <f t="shared" si="0"/>
        <v>1</v>
      </c>
      <c r="N71" s="21"/>
      <c r="O71" s="22"/>
    </row>
    <row r="72" spans="1:15" ht="15" customHeight="1" x14ac:dyDescent="0.35">
      <c r="A72" s="17" t="s">
        <v>125</v>
      </c>
      <c r="B72" s="17" t="s">
        <v>144</v>
      </c>
      <c r="C72" s="17" t="s">
        <v>145</v>
      </c>
      <c r="D72" s="17" t="s">
        <v>125</v>
      </c>
      <c r="E72" s="17" t="s">
        <v>43</v>
      </c>
      <c r="F72" s="17" t="s">
        <v>14</v>
      </c>
      <c r="G72" s="23">
        <v>2140001702</v>
      </c>
      <c r="H72" s="24">
        <v>41795</v>
      </c>
      <c r="I72" s="18">
        <v>43724</v>
      </c>
      <c r="J72" s="19" t="s">
        <v>49</v>
      </c>
      <c r="K72" s="19" t="s">
        <v>45</v>
      </c>
      <c r="L72" s="20">
        <f>0.271*365/1000</f>
        <v>9.8915000000000003E-2</v>
      </c>
      <c r="M72" s="19">
        <f t="shared" si="0"/>
        <v>1</v>
      </c>
      <c r="N72" s="21"/>
      <c r="O72" s="22"/>
    </row>
    <row r="73" spans="1:15" ht="15" customHeight="1" x14ac:dyDescent="0.35">
      <c r="A73" s="17" t="s">
        <v>125</v>
      </c>
      <c r="B73" s="17" t="s">
        <v>146</v>
      </c>
      <c r="C73" s="17" t="s">
        <v>147</v>
      </c>
      <c r="D73" s="17" t="s">
        <v>125</v>
      </c>
      <c r="E73" s="17" t="s">
        <v>43</v>
      </c>
      <c r="F73" s="17" t="s">
        <v>14</v>
      </c>
      <c r="G73" s="23">
        <v>2140001728</v>
      </c>
      <c r="H73" s="24">
        <v>41738</v>
      </c>
      <c r="I73" s="18">
        <v>43724</v>
      </c>
      <c r="J73" s="19" t="s">
        <v>49</v>
      </c>
      <c r="K73" s="19" t="s">
        <v>45</v>
      </c>
      <c r="L73" s="20">
        <f>0.554*365/1000</f>
        <v>0.20221</v>
      </c>
      <c r="M73" s="19">
        <f t="shared" si="0"/>
        <v>1</v>
      </c>
      <c r="N73" s="21"/>
      <c r="O73" s="22"/>
    </row>
    <row r="74" spans="1:15" ht="15" customHeight="1" x14ac:dyDescent="0.35">
      <c r="A74" s="17" t="s">
        <v>125</v>
      </c>
      <c r="B74" s="17" t="s">
        <v>148</v>
      </c>
      <c r="C74" s="17" t="s">
        <v>149</v>
      </c>
      <c r="D74" s="17" t="s">
        <v>125</v>
      </c>
      <c r="E74" s="17" t="s">
        <v>43</v>
      </c>
      <c r="F74" s="17" t="s">
        <v>14</v>
      </c>
      <c r="G74" s="23">
        <v>2140001607</v>
      </c>
      <c r="H74" s="24">
        <v>41740</v>
      </c>
      <c r="I74" s="18">
        <v>43724</v>
      </c>
      <c r="J74" s="19" t="s">
        <v>49</v>
      </c>
      <c r="K74" s="19" t="s">
        <v>45</v>
      </c>
      <c r="L74" s="20">
        <f>0.293*365/1000</f>
        <v>0.106945</v>
      </c>
      <c r="M74" s="19">
        <f t="shared" si="0"/>
        <v>1</v>
      </c>
      <c r="N74" s="21"/>
      <c r="O74" s="22"/>
    </row>
    <row r="75" spans="1:15" ht="15" customHeight="1" x14ac:dyDescent="0.35">
      <c r="A75" s="17" t="s">
        <v>125</v>
      </c>
      <c r="B75" s="17" t="s">
        <v>150</v>
      </c>
      <c r="C75" s="17" t="s">
        <v>151</v>
      </c>
      <c r="D75" s="17" t="s">
        <v>125</v>
      </c>
      <c r="E75" s="17" t="s">
        <v>43</v>
      </c>
      <c r="F75" s="17" t="s">
        <v>14</v>
      </c>
      <c r="G75" s="23">
        <v>2140001267</v>
      </c>
      <c r="H75" s="24">
        <v>41757</v>
      </c>
      <c r="I75" s="18">
        <v>43724</v>
      </c>
      <c r="J75" s="19" t="s">
        <v>49</v>
      </c>
      <c r="K75" s="19" t="s">
        <v>45</v>
      </c>
      <c r="L75" s="20">
        <f>0.852*365/1000</f>
        <v>0.31098000000000003</v>
      </c>
      <c r="M75" s="19">
        <f t="shared" si="0"/>
        <v>1</v>
      </c>
      <c r="N75" s="21"/>
      <c r="O75" s="22"/>
    </row>
    <row r="76" spans="1:15" ht="15" customHeight="1" x14ac:dyDescent="0.35">
      <c r="A76" s="17" t="s">
        <v>125</v>
      </c>
      <c r="B76" s="17" t="s">
        <v>152</v>
      </c>
      <c r="C76" s="17" t="s">
        <v>153</v>
      </c>
      <c r="D76" s="17" t="s">
        <v>125</v>
      </c>
      <c r="E76" s="17" t="s">
        <v>43</v>
      </c>
      <c r="F76" s="17" t="s">
        <v>14</v>
      </c>
      <c r="G76" s="23">
        <v>2140001619</v>
      </c>
      <c r="H76" s="24">
        <v>41740</v>
      </c>
      <c r="I76" s="18">
        <v>43724</v>
      </c>
      <c r="J76" s="19" t="s">
        <v>49</v>
      </c>
      <c r="K76" s="19" t="s">
        <v>45</v>
      </c>
      <c r="L76" s="20">
        <f>0.295*365/1000</f>
        <v>0.10767499999999999</v>
      </c>
      <c r="M76" s="19">
        <f t="shared" si="0"/>
        <v>1</v>
      </c>
      <c r="N76" s="21"/>
      <c r="O76" s="22"/>
    </row>
    <row r="77" spans="1:15" ht="15" customHeight="1" x14ac:dyDescent="0.35">
      <c r="A77" s="17" t="s">
        <v>125</v>
      </c>
      <c r="B77" s="17" t="s">
        <v>154</v>
      </c>
      <c r="C77" s="17" t="s">
        <v>155</v>
      </c>
      <c r="D77" s="17" t="s">
        <v>125</v>
      </c>
      <c r="E77" s="17" t="s">
        <v>43</v>
      </c>
      <c r="F77" s="17" t="s">
        <v>14</v>
      </c>
      <c r="G77" s="23">
        <v>2140000438</v>
      </c>
      <c r="H77" s="24">
        <v>41757</v>
      </c>
      <c r="I77" s="18">
        <v>43724</v>
      </c>
      <c r="J77" s="19" t="s">
        <v>49</v>
      </c>
      <c r="K77" s="19" t="s">
        <v>45</v>
      </c>
      <c r="L77" s="20">
        <f>0.313*365/1000</f>
        <v>0.114245</v>
      </c>
      <c r="M77" s="19">
        <f t="shared" si="0"/>
        <v>1</v>
      </c>
      <c r="N77" s="21"/>
      <c r="O77" s="22"/>
    </row>
    <row r="78" spans="1:15" x14ac:dyDescent="0.35">
      <c r="A78" s="17" t="s">
        <v>156</v>
      </c>
      <c r="B78" s="17" t="s">
        <v>157</v>
      </c>
      <c r="C78" s="17" t="s">
        <v>158</v>
      </c>
      <c r="D78" s="17" t="s">
        <v>156</v>
      </c>
      <c r="E78" s="17" t="s">
        <v>43</v>
      </c>
      <c r="F78" s="17" t="s">
        <v>14</v>
      </c>
      <c r="G78" s="23">
        <v>1040001316</v>
      </c>
      <c r="H78" s="24">
        <v>41726</v>
      </c>
      <c r="I78" s="18">
        <v>43722</v>
      </c>
      <c r="J78" s="19" t="s">
        <v>44</v>
      </c>
      <c r="K78" s="19" t="s">
        <v>44</v>
      </c>
      <c r="L78" s="20">
        <f>0*365/1000</f>
        <v>0</v>
      </c>
      <c r="M78" s="19">
        <f t="shared" si="0"/>
        <v>0</v>
      </c>
      <c r="N78" s="21"/>
      <c r="O78" s="22"/>
    </row>
    <row r="79" spans="1:15" x14ac:dyDescent="0.35">
      <c r="A79" s="17" t="s">
        <v>156</v>
      </c>
      <c r="B79" s="17" t="s">
        <v>159</v>
      </c>
      <c r="C79" s="17" t="s">
        <v>160</v>
      </c>
      <c r="D79" s="17" t="s">
        <v>156</v>
      </c>
      <c r="E79" s="17" t="s">
        <v>43</v>
      </c>
      <c r="F79" s="17" t="s">
        <v>14</v>
      </c>
      <c r="G79" s="23">
        <v>1040002334</v>
      </c>
      <c r="H79" s="24">
        <v>41726</v>
      </c>
      <c r="I79" s="18">
        <v>43722</v>
      </c>
      <c r="J79" s="19" t="s">
        <v>49</v>
      </c>
      <c r="K79" s="19" t="s">
        <v>45</v>
      </c>
      <c r="L79" s="20">
        <f>0.562*365/1000</f>
        <v>0.20513000000000003</v>
      </c>
      <c r="M79" s="19">
        <f t="shared" si="0"/>
        <v>1</v>
      </c>
      <c r="N79" s="21"/>
      <c r="O79" s="22"/>
    </row>
    <row r="80" spans="1:15" x14ac:dyDescent="0.35">
      <c r="A80" s="17" t="s">
        <v>156</v>
      </c>
      <c r="B80" s="17" t="s">
        <v>161</v>
      </c>
      <c r="C80" s="17" t="s">
        <v>162</v>
      </c>
      <c r="D80" s="17" t="s">
        <v>156</v>
      </c>
      <c r="E80" s="17" t="s">
        <v>43</v>
      </c>
      <c r="F80" s="17" t="s">
        <v>14</v>
      </c>
      <c r="G80" s="23">
        <v>1040001565</v>
      </c>
      <c r="H80" s="24">
        <v>41726</v>
      </c>
      <c r="I80" s="18">
        <v>43722</v>
      </c>
      <c r="J80" s="19" t="s">
        <v>49</v>
      </c>
      <c r="K80" s="19" t="s">
        <v>45</v>
      </c>
      <c r="L80" s="20">
        <f>0.276*365/1000</f>
        <v>0.10074000000000001</v>
      </c>
      <c r="M80" s="19">
        <f t="shared" si="0"/>
        <v>1</v>
      </c>
      <c r="N80" s="21"/>
      <c r="O80" s="22"/>
    </row>
    <row r="81" spans="1:15" x14ac:dyDescent="0.35">
      <c r="A81" s="17" t="s">
        <v>156</v>
      </c>
      <c r="B81" s="17" t="s">
        <v>163</v>
      </c>
      <c r="C81" s="17" t="s">
        <v>164</v>
      </c>
      <c r="D81" s="17" t="s">
        <v>156</v>
      </c>
      <c r="E81" s="17" t="s">
        <v>43</v>
      </c>
      <c r="F81" s="17" t="s">
        <v>14</v>
      </c>
      <c r="G81" s="23">
        <v>1040002253</v>
      </c>
      <c r="H81" s="24">
        <v>41766</v>
      </c>
      <c r="I81" s="18">
        <v>43722</v>
      </c>
      <c r="J81" s="19" t="s">
        <v>49</v>
      </c>
      <c r="K81" s="19" t="s">
        <v>45</v>
      </c>
      <c r="L81" s="20">
        <f>0.407*365/1000</f>
        <v>0.14855499999999996</v>
      </c>
      <c r="M81" s="19">
        <f t="shared" si="0"/>
        <v>1</v>
      </c>
      <c r="N81" s="21"/>
      <c r="O81" s="22"/>
    </row>
    <row r="82" spans="1:15" x14ac:dyDescent="0.35">
      <c r="A82" s="17" t="s">
        <v>156</v>
      </c>
      <c r="B82" s="17" t="s">
        <v>165</v>
      </c>
      <c r="C82" s="17" t="s">
        <v>166</v>
      </c>
      <c r="D82" s="17" t="s">
        <v>156</v>
      </c>
      <c r="E82" s="17" t="s">
        <v>43</v>
      </c>
      <c r="F82" s="17" t="s">
        <v>14</v>
      </c>
      <c r="G82" s="23">
        <v>1040001553</v>
      </c>
      <c r="H82" s="24">
        <v>41758</v>
      </c>
      <c r="I82" s="18">
        <v>43722</v>
      </c>
      <c r="J82" s="19" t="s">
        <v>49</v>
      </c>
      <c r="K82" s="19" t="s">
        <v>45</v>
      </c>
      <c r="L82" s="20">
        <f>0.285*365/1000</f>
        <v>0.10402499999999999</v>
      </c>
      <c r="M82" s="19">
        <f t="shared" ref="M82:M92" si="2">IF(J82="Yes",1,0)</f>
        <v>1</v>
      </c>
      <c r="N82" s="21"/>
      <c r="O82" s="22"/>
    </row>
    <row r="83" spans="1:15" x14ac:dyDescent="0.35">
      <c r="A83" s="17" t="s">
        <v>156</v>
      </c>
      <c r="B83" s="17" t="s">
        <v>167</v>
      </c>
      <c r="C83" s="17" t="s">
        <v>168</v>
      </c>
      <c r="D83" s="17" t="s">
        <v>156</v>
      </c>
      <c r="E83" s="17" t="s">
        <v>43</v>
      </c>
      <c r="F83" s="17" t="s">
        <v>14</v>
      </c>
      <c r="G83" s="23">
        <v>1040000874</v>
      </c>
      <c r="H83" s="24">
        <v>41743</v>
      </c>
      <c r="I83" s="18">
        <v>43722</v>
      </c>
      <c r="J83" s="19" t="s">
        <v>49</v>
      </c>
      <c r="K83" s="19" t="s">
        <v>45</v>
      </c>
      <c r="L83" s="20">
        <f>0.424*365/1000</f>
        <v>0.15475999999999998</v>
      </c>
      <c r="M83" s="19">
        <f t="shared" si="2"/>
        <v>1</v>
      </c>
      <c r="N83" s="21"/>
      <c r="O83" s="22"/>
    </row>
    <row r="84" spans="1:15" x14ac:dyDescent="0.35">
      <c r="A84" s="17" t="s">
        <v>156</v>
      </c>
      <c r="B84" s="17" t="s">
        <v>169</v>
      </c>
      <c r="C84" s="17" t="s">
        <v>170</v>
      </c>
      <c r="D84" s="17" t="s">
        <v>156</v>
      </c>
      <c r="E84" s="17" t="s">
        <v>43</v>
      </c>
      <c r="F84" s="17" t="s">
        <v>14</v>
      </c>
      <c r="G84" s="23">
        <v>1040002445</v>
      </c>
      <c r="H84" s="24">
        <v>41790</v>
      </c>
      <c r="I84" s="18">
        <v>43722</v>
      </c>
      <c r="J84" s="19" t="s">
        <v>49</v>
      </c>
      <c r="K84" s="19" t="s">
        <v>45</v>
      </c>
      <c r="L84" s="20">
        <f>0.405*365/1000</f>
        <v>0.14782500000000001</v>
      </c>
      <c r="M84" s="19">
        <f t="shared" si="2"/>
        <v>1</v>
      </c>
      <c r="N84" s="21"/>
      <c r="O84" s="22"/>
    </row>
    <row r="85" spans="1:15" x14ac:dyDescent="0.35">
      <c r="A85" s="17" t="s">
        <v>156</v>
      </c>
      <c r="B85" s="17" t="s">
        <v>171</v>
      </c>
      <c r="C85" s="17" t="s">
        <v>172</v>
      </c>
      <c r="D85" s="17" t="s">
        <v>156</v>
      </c>
      <c r="E85" s="17" t="s">
        <v>43</v>
      </c>
      <c r="F85" s="17" t="s">
        <v>14</v>
      </c>
      <c r="G85" s="23">
        <v>1040001869</v>
      </c>
      <c r="H85" s="24">
        <v>41752</v>
      </c>
      <c r="I85" s="18">
        <v>43722</v>
      </c>
      <c r="J85" s="19" t="s">
        <v>49</v>
      </c>
      <c r="K85" s="19" t="s">
        <v>45</v>
      </c>
      <c r="L85" s="20">
        <f>0.354*365/1000</f>
        <v>0.12920999999999999</v>
      </c>
      <c r="M85" s="19">
        <f t="shared" si="2"/>
        <v>1</v>
      </c>
      <c r="N85" s="21"/>
      <c r="O85" s="22"/>
    </row>
    <row r="86" spans="1:15" s="25" customFormat="1" x14ac:dyDescent="0.35">
      <c r="A86" s="17" t="s">
        <v>156</v>
      </c>
      <c r="B86" s="17" t="s">
        <v>173</v>
      </c>
      <c r="C86" s="17" t="s">
        <v>174</v>
      </c>
      <c r="D86" s="17" t="s">
        <v>156</v>
      </c>
      <c r="E86" s="17" t="s">
        <v>43</v>
      </c>
      <c r="F86" s="17" t="s">
        <v>14</v>
      </c>
      <c r="G86" s="23">
        <v>1040002891</v>
      </c>
      <c r="H86" s="24">
        <v>41794</v>
      </c>
      <c r="I86" s="18">
        <v>43722</v>
      </c>
      <c r="J86" s="19" t="s">
        <v>49</v>
      </c>
      <c r="K86" s="19" t="s">
        <v>45</v>
      </c>
      <c r="L86" s="20">
        <f>0.327*365/1000</f>
        <v>0.119355</v>
      </c>
      <c r="M86" s="19">
        <f t="shared" si="2"/>
        <v>1</v>
      </c>
      <c r="N86" s="21"/>
      <c r="O86" s="22"/>
    </row>
    <row r="87" spans="1:15" s="25" customFormat="1" x14ac:dyDescent="0.35">
      <c r="A87" s="17" t="s">
        <v>156</v>
      </c>
      <c r="B87" s="17" t="s">
        <v>175</v>
      </c>
      <c r="C87" s="17" t="s">
        <v>176</v>
      </c>
      <c r="D87" s="17" t="s">
        <v>156</v>
      </c>
      <c r="E87" s="17" t="s">
        <v>43</v>
      </c>
      <c r="F87" s="17" t="s">
        <v>14</v>
      </c>
      <c r="G87" s="23">
        <v>1040000197</v>
      </c>
      <c r="H87" s="24">
        <v>41726</v>
      </c>
      <c r="I87" s="18">
        <v>43722</v>
      </c>
      <c r="J87" s="19" t="s">
        <v>44</v>
      </c>
      <c r="K87" s="19" t="s">
        <v>44</v>
      </c>
      <c r="L87" s="20">
        <f>0*365/1000</f>
        <v>0</v>
      </c>
      <c r="M87" s="19">
        <f t="shared" si="2"/>
        <v>0</v>
      </c>
      <c r="N87" s="21"/>
      <c r="O87" s="22"/>
    </row>
    <row r="88" spans="1:15" s="25" customFormat="1" x14ac:dyDescent="0.35">
      <c r="A88" s="17" t="s">
        <v>156</v>
      </c>
      <c r="B88" s="17" t="s">
        <v>177</v>
      </c>
      <c r="C88" s="17" t="s">
        <v>178</v>
      </c>
      <c r="D88" s="17" t="s">
        <v>156</v>
      </c>
      <c r="E88" s="17" t="s">
        <v>43</v>
      </c>
      <c r="F88" s="17" t="s">
        <v>14</v>
      </c>
      <c r="G88" s="23">
        <v>1040000733</v>
      </c>
      <c r="H88" s="24">
        <v>41758</v>
      </c>
      <c r="I88" s="18">
        <v>43722</v>
      </c>
      <c r="J88" s="19" t="s">
        <v>49</v>
      </c>
      <c r="K88" s="19" t="s">
        <v>45</v>
      </c>
      <c r="L88" s="20">
        <f>0.522*365/1000</f>
        <v>0.19053</v>
      </c>
      <c r="M88" s="19">
        <f t="shared" si="2"/>
        <v>1</v>
      </c>
      <c r="N88" s="21"/>
      <c r="O88" s="22"/>
    </row>
    <row r="89" spans="1:15" s="25" customFormat="1" x14ac:dyDescent="0.35">
      <c r="A89" s="17" t="s">
        <v>156</v>
      </c>
      <c r="B89" s="17" t="s">
        <v>179</v>
      </c>
      <c r="C89" s="17" t="s">
        <v>180</v>
      </c>
      <c r="D89" s="17" t="s">
        <v>156</v>
      </c>
      <c r="E89" s="17" t="s">
        <v>43</v>
      </c>
      <c r="F89" s="17" t="s">
        <v>14</v>
      </c>
      <c r="G89" s="23">
        <v>1040000101</v>
      </c>
      <c r="H89" s="24">
        <v>41752</v>
      </c>
      <c r="I89" s="18">
        <v>43722</v>
      </c>
      <c r="J89" s="19" t="s">
        <v>49</v>
      </c>
      <c r="K89" s="19" t="s">
        <v>45</v>
      </c>
      <c r="L89" s="20">
        <f>0.442*365/1000</f>
        <v>0.16133</v>
      </c>
      <c r="M89" s="19">
        <f t="shared" si="2"/>
        <v>1</v>
      </c>
      <c r="N89" s="21"/>
      <c r="O89" s="22"/>
    </row>
    <row r="90" spans="1:15" s="25" customFormat="1" x14ac:dyDescent="0.35">
      <c r="A90" s="17" t="s">
        <v>156</v>
      </c>
      <c r="B90" s="17" t="s">
        <v>181</v>
      </c>
      <c r="C90" s="17" t="s">
        <v>182</v>
      </c>
      <c r="D90" s="17" t="s">
        <v>156</v>
      </c>
      <c r="E90" s="17" t="s">
        <v>43</v>
      </c>
      <c r="F90" s="17" t="s">
        <v>14</v>
      </c>
      <c r="G90" s="23">
        <v>1040001231</v>
      </c>
      <c r="H90" s="24">
        <v>41754</v>
      </c>
      <c r="I90" s="18">
        <v>43722</v>
      </c>
      <c r="J90" s="19" t="s">
        <v>49</v>
      </c>
      <c r="K90" s="19" t="s">
        <v>45</v>
      </c>
      <c r="L90" s="20">
        <f>0.392*365/1000</f>
        <v>0.14308000000000001</v>
      </c>
      <c r="M90" s="19">
        <f t="shared" si="2"/>
        <v>1</v>
      </c>
      <c r="N90" s="21"/>
      <c r="O90" s="22"/>
    </row>
    <row r="91" spans="1:15" s="25" customFormat="1" x14ac:dyDescent="0.35">
      <c r="A91" s="17" t="s">
        <v>156</v>
      </c>
      <c r="B91" s="17" t="s">
        <v>183</v>
      </c>
      <c r="C91" s="17" t="s">
        <v>184</v>
      </c>
      <c r="D91" s="17" t="s">
        <v>156</v>
      </c>
      <c r="E91" s="17" t="s">
        <v>43</v>
      </c>
      <c r="F91" s="17" t="s">
        <v>14</v>
      </c>
      <c r="G91" s="23">
        <v>1040000325</v>
      </c>
      <c r="H91" s="24">
        <v>41726</v>
      </c>
      <c r="I91" s="18">
        <v>43722</v>
      </c>
      <c r="J91" s="19" t="s">
        <v>49</v>
      </c>
      <c r="K91" s="19" t="s">
        <v>45</v>
      </c>
      <c r="L91" s="20">
        <f>0.433*365/1000</f>
        <v>0.15804499999999999</v>
      </c>
      <c r="M91" s="19">
        <f t="shared" si="2"/>
        <v>1</v>
      </c>
      <c r="N91" s="21"/>
      <c r="O91" s="22"/>
    </row>
    <row r="92" spans="1:15" s="25" customFormat="1" x14ac:dyDescent="0.35">
      <c r="A92" s="17" t="s">
        <v>156</v>
      </c>
      <c r="B92" s="17" t="s">
        <v>185</v>
      </c>
      <c r="C92" s="17" t="s">
        <v>186</v>
      </c>
      <c r="D92" s="17" t="s">
        <v>156</v>
      </c>
      <c r="E92" s="17" t="s">
        <v>43</v>
      </c>
      <c r="F92" s="17" t="s">
        <v>14</v>
      </c>
      <c r="G92" s="23">
        <v>1040000563</v>
      </c>
      <c r="H92" s="24">
        <v>41800</v>
      </c>
      <c r="I92" s="18">
        <v>43722</v>
      </c>
      <c r="J92" s="19" t="s">
        <v>49</v>
      </c>
      <c r="K92" s="19" t="s">
        <v>45</v>
      </c>
      <c r="L92" s="20">
        <f>0.371*365/1000</f>
        <v>0.13541499999999998</v>
      </c>
      <c r="M92" s="19">
        <f t="shared" si="2"/>
        <v>1</v>
      </c>
      <c r="N92" s="21"/>
      <c r="O92" s="22"/>
    </row>
    <row r="93" spans="1:15" x14ac:dyDescent="0.35">
      <c r="L93" s="31"/>
    </row>
    <row r="94" spans="1:15" x14ac:dyDescent="0.35">
      <c r="B94" s="4" t="s">
        <v>187</v>
      </c>
      <c r="L94" s="31"/>
    </row>
    <row r="95" spans="1:15" ht="16" thickBot="1" x14ac:dyDescent="0.4">
      <c r="L95" s="31"/>
    </row>
    <row r="96" spans="1:15" x14ac:dyDescent="0.35">
      <c r="B96" s="32"/>
      <c r="C96" s="33" t="s">
        <v>40</v>
      </c>
      <c r="D96" s="34" t="s">
        <v>63</v>
      </c>
      <c r="E96" s="34" t="s">
        <v>94</v>
      </c>
      <c r="F96" s="34" t="s">
        <v>125</v>
      </c>
      <c r="G96" s="35" t="s">
        <v>156</v>
      </c>
      <c r="L96" s="31"/>
    </row>
    <row r="97" spans="2:12" x14ac:dyDescent="0.35">
      <c r="B97" s="36" t="s">
        <v>188</v>
      </c>
      <c r="C97" s="5">
        <f>VLOOKUP(C96,'[1]ER and branchwise sales summary'!$B$21:$C$121, 2, 0)</f>
        <v>401</v>
      </c>
      <c r="D97" s="5">
        <f>VLOOKUP(D96,'[1]ER and branchwise sales summary'!$B$21:$C$121, 2, 0)</f>
        <v>182</v>
      </c>
      <c r="E97" s="5">
        <f>VLOOKUP(E96,'[1]ER and branchwise sales summary'!$B$21:$C$121, 2, 0)</f>
        <v>502</v>
      </c>
      <c r="F97" s="5">
        <f>VLOOKUP(F96,'[1]ER and branchwise sales summary'!$B$21:$C$121, 2, 0)</f>
        <v>74</v>
      </c>
      <c r="G97" s="37">
        <f>VLOOKUP(G96, '[1]ER and branchwise sales summary'!$B$21:$C$114, 2, 0)</f>
        <v>973</v>
      </c>
      <c r="L97" s="31"/>
    </row>
    <row r="98" spans="2:12" x14ac:dyDescent="0.35">
      <c r="B98" s="36" t="s">
        <v>19</v>
      </c>
      <c r="C98" s="5">
        <f>COUNTIF($D$18:$D$92, C96)</f>
        <v>15</v>
      </c>
      <c r="D98" s="5">
        <f>COUNTIF($D$18:$D$92, D96)</f>
        <v>15</v>
      </c>
      <c r="E98" s="5">
        <f>COUNTIF($D$18:$D$92, E96)</f>
        <v>15</v>
      </c>
      <c r="F98" s="5">
        <f>COUNTIF($D$18:$D$92, F96)</f>
        <v>15</v>
      </c>
      <c r="G98" s="37">
        <f>COUNTIF($D$18:$D$92, G96)</f>
        <v>15</v>
      </c>
      <c r="L98" s="31"/>
    </row>
    <row r="99" spans="2:12" x14ac:dyDescent="0.35">
      <c r="B99" s="36" t="s">
        <v>189</v>
      </c>
      <c r="C99" s="38">
        <f>AVERAGEIF($D$18:$D$92, C96, $L$18:$L$92)</f>
        <v>8.2222333333333342E-2</v>
      </c>
      <c r="D99" s="38">
        <f>AVERAGEIF($D$18:$D$92, D96, $L$18:$L$92)</f>
        <v>0.12020666666666667</v>
      </c>
      <c r="E99" s="38">
        <f>AVERAGEIF($D$18:$D$92, E96, $L$18:$L$92)</f>
        <v>0.11716500000000001</v>
      </c>
      <c r="F99" s="38">
        <f>AVERAGEIF($D$18:$D$92, F96, $L$18:$L$92)</f>
        <v>0.14303133333333337</v>
      </c>
      <c r="G99" s="39">
        <f>AVERAGEIF($D$18:$D$92, G96, $L$18:$L$92)</f>
        <v>0.12653333333333336</v>
      </c>
      <c r="L99" s="31"/>
    </row>
    <row r="100" spans="2:12" x14ac:dyDescent="0.35">
      <c r="B100" s="36" t="s">
        <v>190</v>
      </c>
      <c r="C100" s="38">
        <f t="array" ref="C100">STDEV(IF($D18:$D92=C96,$L18:$L92,""))</f>
        <v>7.0054937978975426E-2</v>
      </c>
      <c r="D100" s="38">
        <f t="array" ref="D100">STDEV(IF($D18:$D92=D96,$L18:$L92,""))</f>
        <v>4.6980531023372754E-2</v>
      </c>
      <c r="E100" s="38">
        <f t="array" ref="E100">STDEV(IF($D18:$D92=E96,$L18:$L92,""))</f>
        <v>7.1856943694696973E-2</v>
      </c>
      <c r="F100" s="38">
        <f t="array" ref="F100">STDEV(IF($D18:$D92=F96,$L18:$L92,""))</f>
        <v>7.2624107702083371E-2</v>
      </c>
      <c r="G100" s="39">
        <f t="array" ref="G100">STDEV(IF($D18:$D92=G96,$L18:$L92,""))</f>
        <v>5.8441970781361548E-2</v>
      </c>
      <c r="L100" s="31"/>
    </row>
    <row r="101" spans="2:12" x14ac:dyDescent="0.35">
      <c r="B101" s="36" t="s">
        <v>191</v>
      </c>
      <c r="C101" s="38">
        <f>SQRT((1-C98/C97)*C100*C100/C98)</f>
        <v>1.7746576658871731E-2</v>
      </c>
      <c r="D101" s="38">
        <f>SQRT((1-D98/D97)*D100*D100/D98)</f>
        <v>1.1619697803071772E-2</v>
      </c>
      <c r="E101" s="38">
        <f>SQRT((1-E98/E97)*E100*E100/E98)</f>
        <v>1.8274088920844402E-2</v>
      </c>
      <c r="F101" s="38">
        <f>SQRT((1-F98/F97)*F100*F100/F98)</f>
        <v>1.6743464508292616E-2</v>
      </c>
      <c r="G101" s="39">
        <f>SQRT((1-G98/G97)*G100*G100/G98)</f>
        <v>1.4972887368393329E-2</v>
      </c>
      <c r="L101" s="31"/>
    </row>
    <row r="102" spans="2:12" x14ac:dyDescent="0.35">
      <c r="B102" s="36" t="s">
        <v>192</v>
      </c>
      <c r="C102" s="38">
        <f>TINV(0.1,(C98-1))</f>
        <v>1.7613101357748921</v>
      </c>
      <c r="D102" s="38">
        <f>TINV(0.1,(D98-1))</f>
        <v>1.7613101357748921</v>
      </c>
      <c r="E102" s="38">
        <f>TINV(0.1,(E98-1))</f>
        <v>1.7613101357748921</v>
      </c>
      <c r="F102" s="38">
        <f>TINV(0.1,(F98-1))</f>
        <v>1.7613101357748921</v>
      </c>
      <c r="G102" s="39">
        <f>TINV(0.1,(G98-1))</f>
        <v>1.7613101357748921</v>
      </c>
      <c r="L102" s="31"/>
    </row>
    <row r="103" spans="2:12" x14ac:dyDescent="0.35">
      <c r="B103" s="36" t="s">
        <v>193</v>
      </c>
      <c r="C103" s="38">
        <f>C102*C101</f>
        <v>3.1257225344576901E-2</v>
      </c>
      <c r="D103" s="38">
        <f>D102*D101</f>
        <v>2.0465891515191559E-2</v>
      </c>
      <c r="E103" s="38">
        <f>E102*E101</f>
        <v>3.2186338038334907E-2</v>
      </c>
      <c r="F103" s="38">
        <f>F102*F101</f>
        <v>2.9490433746442956E-2</v>
      </c>
      <c r="G103" s="39">
        <f>G102*G101</f>
        <v>2.6371898283767022E-2</v>
      </c>
      <c r="L103" s="31"/>
    </row>
    <row r="104" spans="2:12" x14ac:dyDescent="0.35">
      <c r="B104" s="36" t="s">
        <v>194</v>
      </c>
      <c r="C104" s="40">
        <f>C103/C99</f>
        <v>0.3801549296571114</v>
      </c>
      <c r="D104" s="40">
        <f>D103/D99</f>
        <v>0.17025587750422794</v>
      </c>
      <c r="E104" s="40">
        <f>E103/E99</f>
        <v>0.27470949548359069</v>
      </c>
      <c r="F104" s="40">
        <f>F103/F99</f>
        <v>0.2061816320883742</v>
      </c>
      <c r="G104" s="41">
        <f>G103/G99</f>
        <v>0.2084185849612778</v>
      </c>
      <c r="L104" s="31"/>
    </row>
    <row r="105" spans="2:12" x14ac:dyDescent="0.35">
      <c r="B105" s="36" t="s">
        <v>195</v>
      </c>
      <c r="C105" s="42">
        <f>IF(C104&gt;0.1, C99+C102*C100/SQRT(C98), "NA")</f>
        <v>0.11408109989484667</v>
      </c>
      <c r="D105" s="42">
        <f>IF(D104&gt;0.1, D99+D102*D100/SQRT(D98), "NA")</f>
        <v>0.14157192390604589</v>
      </c>
      <c r="E105" s="42">
        <f>IF(E104&gt;0.1, E99+E102*E100/SQRT(E98), "NA")</f>
        <v>0.14984326167628903</v>
      </c>
      <c r="F105" s="42">
        <f>IF(F104&gt;0.1, F99+F102*F100/SQRT(F98), "NA")</f>
        <v>0.17605847689762083</v>
      </c>
      <c r="G105" s="43">
        <f>IF(G104&gt;0.1, G99+G102*G100/SQRT(G98), "NA")</f>
        <v>0.15311089029408553</v>
      </c>
      <c r="L105" s="31"/>
    </row>
    <row r="106" spans="2:12" x14ac:dyDescent="0.35">
      <c r="B106" s="36" t="s">
        <v>196</v>
      </c>
      <c r="C106" s="44">
        <f>AVERAGE(C99:G99)</f>
        <v>0.11783173333333337</v>
      </c>
      <c r="D106" s="45"/>
      <c r="E106" s="45"/>
      <c r="F106" s="45"/>
      <c r="G106" s="46"/>
      <c r="L106" s="31"/>
    </row>
    <row r="107" spans="2:12" ht="47" thickBot="1" x14ac:dyDescent="0.4">
      <c r="B107" s="47" t="s">
        <v>197</v>
      </c>
      <c r="C107" s="48">
        <f>AVERAGE(C105:G105)</f>
        <v>0.1469331305337776</v>
      </c>
      <c r="D107" s="49"/>
      <c r="E107" s="49"/>
      <c r="F107" s="49"/>
      <c r="G107" s="50"/>
      <c r="L107" s="31"/>
    </row>
    <row r="108" spans="2:12" x14ac:dyDescent="0.35">
      <c r="L108" s="31"/>
    </row>
    <row r="109" spans="2:12" x14ac:dyDescent="0.35">
      <c r="B109" s="4" t="s">
        <v>198</v>
      </c>
      <c r="L109" s="31"/>
    </row>
    <row r="110" spans="2:12" ht="16" thickBot="1" x14ac:dyDescent="0.4">
      <c r="B110" s="4"/>
      <c r="L110" s="31"/>
    </row>
    <row r="111" spans="2:12" x14ac:dyDescent="0.35">
      <c r="B111" s="32"/>
      <c r="C111" s="51" t="str">
        <f>C96</f>
        <v>MUNNAR</v>
      </c>
      <c r="D111" s="51" t="str">
        <f>D96</f>
        <v>KODUNGALLUR</v>
      </c>
      <c r="E111" s="51" t="str">
        <f>E96</f>
        <v>AROOR</v>
      </c>
      <c r="F111" s="51" t="str">
        <f>F96</f>
        <v>VALANCHERY</v>
      </c>
      <c r="G111" s="52" t="str">
        <f>G96</f>
        <v>ADIMALY</v>
      </c>
      <c r="L111" s="31"/>
    </row>
    <row r="112" spans="2:12" x14ac:dyDescent="0.35">
      <c r="B112" s="36" t="s">
        <v>188</v>
      </c>
      <c r="C112" s="5">
        <f t="shared" ref="C112:G113" si="3">C97</f>
        <v>401</v>
      </c>
      <c r="D112" s="5">
        <f t="shared" si="3"/>
        <v>182</v>
      </c>
      <c r="E112" s="5">
        <f t="shared" si="3"/>
        <v>502</v>
      </c>
      <c r="F112" s="5">
        <f t="shared" si="3"/>
        <v>74</v>
      </c>
      <c r="G112" s="37">
        <f t="shared" si="3"/>
        <v>973</v>
      </c>
      <c r="L112" s="31"/>
    </row>
    <row r="113" spans="2:12" x14ac:dyDescent="0.35">
      <c r="B113" s="36" t="s">
        <v>19</v>
      </c>
      <c r="C113" s="5">
        <f t="shared" si="3"/>
        <v>15</v>
      </c>
      <c r="D113" s="5">
        <f t="shared" si="3"/>
        <v>15</v>
      </c>
      <c r="E113" s="5">
        <f t="shared" si="3"/>
        <v>15</v>
      </c>
      <c r="F113" s="5">
        <f t="shared" si="3"/>
        <v>15</v>
      </c>
      <c r="G113" s="37">
        <f t="shared" si="3"/>
        <v>15</v>
      </c>
      <c r="L113" s="31"/>
    </row>
    <row r="114" spans="2:12" x14ac:dyDescent="0.35">
      <c r="B114" s="36" t="s">
        <v>199</v>
      </c>
      <c r="C114" s="38">
        <f>SUMIF($D$18:$D$92,C111,$M$18:$M$92)/COUNTIF($D$18:$D$92,C111)</f>
        <v>0.8666666666666667</v>
      </c>
      <c r="D114" s="38">
        <f>SUMIF($D$18:$D$92,D111,$M$18:$M$92)/COUNTIF($D$18:$D$92,D111)</f>
        <v>0.8666666666666667</v>
      </c>
      <c r="E114" s="38">
        <f>SUMIF($D$18:$D$92,E111,$M$18:$M$92)/COUNTIF($D$18:$D$92,E111)</f>
        <v>0.8666666666666667</v>
      </c>
      <c r="F114" s="38">
        <f>SUMIF($D$18:$D$92,F111,$M$18:$M$92)/COUNTIF($D$18:$D$92,F111)</f>
        <v>0.93333333333333335</v>
      </c>
      <c r="G114" s="39">
        <f>SUMIF($D$18:$D$92,G111,$M$18:$M$92)/COUNTIF($D$18:$D$92,G111)</f>
        <v>0.8666666666666667</v>
      </c>
      <c r="L114" s="31"/>
    </row>
    <row r="115" spans="2:12" x14ac:dyDescent="0.35">
      <c r="B115" s="36" t="s">
        <v>200</v>
      </c>
      <c r="C115" s="38">
        <f>1-C114</f>
        <v>0.1333333333333333</v>
      </c>
      <c r="D115" s="38">
        <f>1-D114</f>
        <v>0.1333333333333333</v>
      </c>
      <c r="E115" s="38">
        <f>1-E114</f>
        <v>0.1333333333333333</v>
      </c>
      <c r="F115" s="38">
        <f>1-F114</f>
        <v>6.6666666666666652E-2</v>
      </c>
      <c r="G115" s="39">
        <f>1-G114</f>
        <v>0.1333333333333333</v>
      </c>
      <c r="L115" s="31"/>
    </row>
    <row r="116" spans="2:12" x14ac:dyDescent="0.35">
      <c r="B116" s="36" t="s">
        <v>191</v>
      </c>
      <c r="C116" s="38">
        <f>SQRT((1-C113/C112)*C114*C115/C113)</f>
        <v>8.6113502053883004E-2</v>
      </c>
      <c r="D116" s="38">
        <f>SQRT((1-D113/D112)*D114*D115/D113)</f>
        <v>8.4076055264165839E-2</v>
      </c>
      <c r="E116" s="38">
        <f>SQRT((1-E113/E112)*E114*E115/E113)</f>
        <v>8.6449484405584739E-2</v>
      </c>
      <c r="F116" s="38">
        <f>SQRT((1-F113/F112)*F114*F115/F113)</f>
        <v>5.7509193241666208E-2</v>
      </c>
      <c r="G116" s="39">
        <f>SQRT((1-G113/G112)*G114*G115/G113)</f>
        <v>8.7091570031508095E-2</v>
      </c>
      <c r="L116" s="31"/>
    </row>
    <row r="117" spans="2:12" x14ac:dyDescent="0.35">
      <c r="B117" s="36" t="s">
        <v>193</v>
      </c>
      <c r="C117" s="38">
        <f>(1.6449*C116)</f>
        <v>0.14164809952843216</v>
      </c>
      <c r="D117" s="38">
        <f>(1.6449*D116)</f>
        <v>0.13829670330402638</v>
      </c>
      <c r="E117" s="38">
        <f>(1.6449*E116)</f>
        <v>0.14220075689874634</v>
      </c>
      <c r="F117" s="38">
        <f>(1.6449*F116)</f>
        <v>9.4596871963216742E-2</v>
      </c>
      <c r="G117" s="39">
        <f>(1.6449*G116)</f>
        <v>0.14325692354482766</v>
      </c>
      <c r="L117" s="31"/>
    </row>
    <row r="118" spans="2:12" x14ac:dyDescent="0.35">
      <c r="B118" s="36" t="s">
        <v>201</v>
      </c>
      <c r="C118" s="40">
        <f>C117/C114</f>
        <v>0.16344011484049864</v>
      </c>
      <c r="D118" s="40">
        <f>D117/D114</f>
        <v>0.15957311919695352</v>
      </c>
      <c r="E118" s="40">
        <f>E117/E114</f>
        <v>0.1640777964216304</v>
      </c>
      <c r="F118" s="40">
        <f>F117/F114</f>
        <v>0.1013537913891608</v>
      </c>
      <c r="G118" s="41">
        <f>G117/G114</f>
        <v>0.16529645024403192</v>
      </c>
      <c r="L118" s="31"/>
    </row>
    <row r="119" spans="2:12" x14ac:dyDescent="0.35">
      <c r="B119" s="36" t="s">
        <v>202</v>
      </c>
      <c r="C119" s="53">
        <f>IF(C118&gt;0.1,C114-1.645*SQRT(C114*C115/C113),"NA")</f>
        <v>0.72228379089943862</v>
      </c>
      <c r="D119" s="53">
        <f>IF(D118&gt;0.1,D114-1.645*SQRT(D114*D115/D113),"NA")</f>
        <v>0.72228379089943862</v>
      </c>
      <c r="E119" s="53">
        <f>IF(E118&gt;0.1,E114-1.645*SQRT(E114*E115/E113),"NA")</f>
        <v>0.72228379089943862</v>
      </c>
      <c r="F119" s="53">
        <f>IF(F118&gt;0.1,F114-1.645*SQRT(F114*F115/F113),"NA")</f>
        <v>0.82738526778897059</v>
      </c>
      <c r="G119" s="54">
        <f>IF(G118&gt;0.1,G114-1.645*SQRT(G114*G115/G113),"NA")</f>
        <v>0.72228379089943862</v>
      </c>
      <c r="L119" s="31"/>
    </row>
    <row r="120" spans="2:12" ht="31" x14ac:dyDescent="0.35">
      <c r="B120" s="55" t="s">
        <v>203</v>
      </c>
      <c r="C120" s="56">
        <f>AVERAGE(C114:G114)</f>
        <v>0.88000000000000012</v>
      </c>
      <c r="G120" s="37"/>
      <c r="L120" s="31"/>
    </row>
    <row r="121" spans="2:12" ht="62.5" thickBot="1" x14ac:dyDescent="0.4">
      <c r="B121" s="57" t="s">
        <v>204</v>
      </c>
      <c r="C121" s="58">
        <f>AVERAGE(C119:G119)</f>
        <v>0.74330408627734512</v>
      </c>
      <c r="D121" s="59"/>
      <c r="E121" s="59"/>
      <c r="F121" s="59"/>
      <c r="G121" s="60"/>
      <c r="L121" s="31"/>
    </row>
    <row r="122" spans="2:12" x14ac:dyDescent="0.35">
      <c r="L122" s="31"/>
    </row>
    <row r="123" spans="2:12" x14ac:dyDescent="0.35">
      <c r="L123" s="31"/>
    </row>
    <row r="124" spans="2:12" x14ac:dyDescent="0.35">
      <c r="L124" s="31"/>
    </row>
    <row r="125" spans="2:12" x14ac:dyDescent="0.35">
      <c r="L125" s="31"/>
    </row>
    <row r="126" spans="2:12" x14ac:dyDescent="0.35">
      <c r="L126" s="31"/>
    </row>
    <row r="127" spans="2:12" x14ac:dyDescent="0.35">
      <c r="L127" s="31"/>
    </row>
    <row r="128" spans="2:12" x14ac:dyDescent="0.35">
      <c r="L128" s="31"/>
    </row>
    <row r="129" spans="12:12" x14ac:dyDescent="0.35">
      <c r="L129" s="31"/>
    </row>
    <row r="130" spans="12:12" x14ac:dyDescent="0.35">
      <c r="L130" s="31"/>
    </row>
    <row r="131" spans="12:12" x14ac:dyDescent="0.35">
      <c r="L131" s="31"/>
    </row>
    <row r="132" spans="12:12" x14ac:dyDescent="0.35">
      <c r="L132" s="31"/>
    </row>
    <row r="133" spans="12:12" x14ac:dyDescent="0.35">
      <c r="L133" s="31"/>
    </row>
    <row r="134" spans="12:12" x14ac:dyDescent="0.35">
      <c r="L134" s="31"/>
    </row>
    <row r="135" spans="12:12" x14ac:dyDescent="0.35">
      <c r="L135" s="31"/>
    </row>
    <row r="136" spans="12:12" x14ac:dyDescent="0.35">
      <c r="L136" s="31"/>
    </row>
    <row r="137" spans="12:12" x14ac:dyDescent="0.35">
      <c r="L137" s="31"/>
    </row>
    <row r="138" spans="12:12" x14ac:dyDescent="0.35">
      <c r="L138" s="31"/>
    </row>
    <row r="139" spans="12:12" x14ac:dyDescent="0.35">
      <c r="L139" s="31"/>
    </row>
    <row r="140" spans="12:12" x14ac:dyDescent="0.35">
      <c r="L140" s="31"/>
    </row>
    <row r="141" spans="12:12" x14ac:dyDescent="0.35">
      <c r="L141" s="31"/>
    </row>
    <row r="142" spans="12:12" x14ac:dyDescent="0.35">
      <c r="L142" s="31"/>
    </row>
    <row r="143" spans="12:12" x14ac:dyDescent="0.35">
      <c r="L143" s="31"/>
    </row>
    <row r="144" spans="12:12" x14ac:dyDescent="0.35">
      <c r="L144" s="31"/>
    </row>
    <row r="145" spans="12:12" x14ac:dyDescent="0.35">
      <c r="L145" s="31"/>
    </row>
    <row r="146" spans="12:12" x14ac:dyDescent="0.35">
      <c r="L146" s="31"/>
    </row>
    <row r="147" spans="12:12" x14ac:dyDescent="0.35">
      <c r="L147" s="31"/>
    </row>
    <row r="148" spans="12:12" x14ac:dyDescent="0.35">
      <c r="L148"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Audit plan</vt:lpstr>
      <vt:lpstr>ER_sheet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Prantik Mitra</dc:creator>
  <cp:lastModifiedBy>Prantik Mitra</cp:lastModifiedBy>
  <dcterms:created xsi:type="dcterms:W3CDTF">2019-11-22T05:30:33Z</dcterms:created>
  <dcterms:modified xsi:type="dcterms:W3CDTF">2019-11-22T05:33:29Z</dcterms:modified>
</cp:coreProperties>
</file>