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.cigarini\Desktop\Projekte\2019_E-MetroBus\Inhalt\AP5\ML_Modell\Daten\"/>
    </mc:Choice>
  </mc:AlternateContent>
  <xr:revisionPtr revIDLastSave="0" documentId="13_ncr:1_{318C1C30-6A25-4576-822A-5387E0265583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7" i="1" l="1"/>
  <c r="C7" i="1"/>
  <c r="E7" i="1"/>
  <c r="H7" i="1"/>
  <c r="F7" i="1"/>
  <c r="D128" i="1"/>
  <c r="C128" i="1"/>
  <c r="E128" i="1"/>
  <c r="H128" i="1"/>
  <c r="F128" i="1"/>
  <c r="D124" i="1"/>
  <c r="C124" i="1"/>
  <c r="E124" i="1"/>
  <c r="H124" i="1"/>
  <c r="G124" i="1"/>
  <c r="F124" i="1"/>
  <c r="D121" i="1"/>
  <c r="C121" i="1"/>
  <c r="E121" i="1"/>
  <c r="H121" i="1"/>
  <c r="G121" i="1"/>
  <c r="F121" i="1"/>
  <c r="D119" i="1"/>
  <c r="C119" i="1"/>
  <c r="E119" i="1"/>
  <c r="H119" i="1"/>
  <c r="G119" i="1"/>
  <c r="F119" i="1"/>
  <c r="D116" i="1"/>
  <c r="C116" i="1"/>
  <c r="E116" i="1"/>
  <c r="H116" i="1"/>
  <c r="G116" i="1"/>
  <c r="F116" i="1"/>
  <c r="C106" i="1"/>
  <c r="E106" i="1"/>
  <c r="H106" i="1"/>
  <c r="G106" i="1"/>
  <c r="F106" i="1"/>
  <c r="D105" i="1"/>
  <c r="C105" i="1"/>
  <c r="E105" i="1"/>
  <c r="H105" i="1"/>
  <c r="G105" i="1"/>
  <c r="F105" i="1"/>
  <c r="D104" i="1"/>
  <c r="C104" i="1"/>
  <c r="E104" i="1"/>
  <c r="H104" i="1"/>
  <c r="F104" i="1"/>
  <c r="D83" i="1"/>
  <c r="C83" i="1"/>
  <c r="E83" i="1"/>
  <c r="H84" i="1"/>
  <c r="H83" i="1"/>
  <c r="G83" i="1"/>
  <c r="F83" i="1"/>
  <c r="D78" i="1"/>
  <c r="C78" i="1"/>
  <c r="E78" i="1"/>
  <c r="H78" i="1"/>
  <c r="G78" i="1"/>
  <c r="F78" i="1"/>
  <c r="D77" i="1"/>
  <c r="C77" i="1"/>
  <c r="E77" i="1"/>
  <c r="H77" i="1"/>
  <c r="G77" i="1"/>
  <c r="F77" i="1"/>
  <c r="D73" i="1"/>
  <c r="C73" i="1"/>
  <c r="E73" i="1"/>
  <c r="H73" i="1"/>
  <c r="G73" i="1"/>
  <c r="F73" i="1"/>
  <c r="D69" i="1"/>
  <c r="C69" i="1"/>
  <c r="E69" i="1"/>
  <c r="H69" i="1"/>
  <c r="G69" i="1"/>
  <c r="F69" i="1"/>
  <c r="D68" i="1"/>
  <c r="C68" i="1"/>
  <c r="E68" i="1"/>
  <c r="H68" i="1"/>
  <c r="G68" i="1"/>
  <c r="F68" i="1"/>
  <c r="D66" i="1"/>
  <c r="C66" i="1"/>
  <c r="E66" i="1"/>
  <c r="H66" i="1"/>
  <c r="G66" i="1"/>
  <c r="F66" i="1"/>
  <c r="D62" i="1"/>
  <c r="C62" i="1"/>
  <c r="E62" i="1"/>
  <c r="H62" i="1"/>
  <c r="G62" i="1"/>
  <c r="F62" i="1"/>
  <c r="D59" i="1"/>
  <c r="C59" i="1"/>
  <c r="E59" i="1"/>
  <c r="H59" i="1"/>
  <c r="G59" i="1"/>
  <c r="F59" i="1"/>
  <c r="D56" i="1"/>
  <c r="C56" i="1"/>
  <c r="E56" i="1"/>
  <c r="H56" i="1"/>
  <c r="F56" i="1"/>
  <c r="C53" i="1"/>
  <c r="E53" i="1"/>
  <c r="H53" i="1"/>
  <c r="G53" i="1"/>
  <c r="F53" i="1"/>
  <c r="D44" i="1"/>
  <c r="C44" i="1"/>
  <c r="E44" i="1"/>
  <c r="H44" i="1"/>
  <c r="G44" i="1"/>
  <c r="F44" i="1"/>
  <c r="D41" i="1"/>
  <c r="C41" i="1"/>
  <c r="E41" i="1"/>
  <c r="H41" i="1"/>
  <c r="G41" i="1"/>
  <c r="F41" i="1"/>
  <c r="D40" i="1"/>
  <c r="C40" i="1"/>
  <c r="E40" i="1"/>
  <c r="H40" i="1"/>
  <c r="G40" i="1"/>
  <c r="F40" i="1"/>
  <c r="D31" i="1"/>
  <c r="C31" i="1"/>
  <c r="E31" i="1"/>
  <c r="H31" i="1"/>
  <c r="G31" i="1"/>
  <c r="F31" i="1"/>
  <c r="E28" i="1"/>
  <c r="D28" i="1"/>
  <c r="C28" i="1"/>
  <c r="H28" i="1"/>
  <c r="G28" i="1"/>
  <c r="F28" i="1"/>
  <c r="D25" i="1"/>
  <c r="C25" i="1"/>
  <c r="E25" i="1"/>
  <c r="H25" i="1"/>
  <c r="G25" i="1"/>
  <c r="F25" i="1"/>
  <c r="D23" i="1"/>
  <c r="E23" i="1"/>
  <c r="C23" i="1"/>
  <c r="H23" i="1"/>
  <c r="G23" i="1"/>
  <c r="F23" i="1"/>
  <c r="D22" i="1"/>
  <c r="E22" i="1"/>
  <c r="C22" i="1"/>
  <c r="D3" i="1"/>
  <c r="D4" i="1"/>
  <c r="D5" i="1"/>
  <c r="D10" i="1"/>
  <c r="D11" i="1"/>
  <c r="D12" i="1"/>
  <c r="D13" i="1"/>
  <c r="D17" i="1"/>
  <c r="D29" i="1"/>
  <c r="D32" i="1"/>
  <c r="D38" i="1"/>
  <c r="D39" i="1"/>
  <c r="D43" i="1"/>
  <c r="D67" i="1"/>
  <c r="D76" i="1"/>
  <c r="D81" i="1"/>
  <c r="D84" i="1"/>
  <c r="D86" i="1"/>
  <c r="D127" i="1"/>
  <c r="D132" i="1"/>
  <c r="H22" i="1"/>
  <c r="G22" i="1"/>
  <c r="F22" i="1"/>
  <c r="C17" i="1" l="1"/>
  <c r="E17" i="1"/>
  <c r="H17" i="1"/>
  <c r="G17" i="1"/>
  <c r="F17" i="1"/>
  <c r="C13" i="1"/>
  <c r="E13" i="1"/>
  <c r="H13" i="1"/>
  <c r="G13" i="1"/>
  <c r="F13" i="1"/>
  <c r="C12" i="1"/>
  <c r="E12" i="1"/>
  <c r="H12" i="1"/>
  <c r="G12" i="1"/>
  <c r="F12" i="1"/>
  <c r="C11" i="1"/>
  <c r="E11" i="1"/>
  <c r="H11" i="1"/>
  <c r="G11" i="1"/>
  <c r="F11" i="1"/>
  <c r="C10" i="1"/>
  <c r="E10" i="1"/>
  <c r="H10" i="1"/>
  <c r="G10" i="1"/>
  <c r="F10" i="1"/>
  <c r="E5" i="1"/>
  <c r="C5" i="1"/>
  <c r="H5" i="1"/>
  <c r="G5" i="1"/>
  <c r="F5" i="1"/>
  <c r="E3" i="1"/>
  <c r="C3" i="1"/>
  <c r="H3" i="1"/>
  <c r="G3" i="1"/>
  <c r="F3" i="1"/>
  <c r="E132" i="1"/>
  <c r="C132" i="1"/>
  <c r="H132" i="1"/>
  <c r="F132" i="1"/>
  <c r="E127" i="1"/>
  <c r="C127" i="1"/>
  <c r="H127" i="1"/>
  <c r="F127" i="1"/>
  <c r="E86" i="1"/>
  <c r="C86" i="1"/>
  <c r="H86" i="1"/>
  <c r="F86" i="1"/>
  <c r="E84" i="1"/>
  <c r="C84" i="1"/>
  <c r="F84" i="1"/>
  <c r="C81" i="1"/>
  <c r="E81" i="1"/>
  <c r="H81" i="1"/>
  <c r="F81" i="1"/>
  <c r="C76" i="1"/>
  <c r="E76" i="1"/>
  <c r="H76" i="1"/>
  <c r="F76" i="1"/>
  <c r="E67" i="1"/>
  <c r="C67" i="1"/>
  <c r="H67" i="1"/>
  <c r="F67" i="1"/>
  <c r="E43" i="1"/>
  <c r="C43" i="1"/>
  <c r="H43" i="1"/>
  <c r="F43" i="1"/>
  <c r="H39" i="1"/>
  <c r="F39" i="1"/>
  <c r="E39" i="1"/>
  <c r="C39" i="1"/>
  <c r="E38" i="1"/>
  <c r="C38" i="1"/>
  <c r="H38" i="1"/>
  <c r="F38" i="1"/>
  <c r="E32" i="1"/>
  <c r="C32" i="1"/>
  <c r="H32" i="1"/>
  <c r="F32" i="1"/>
  <c r="E29" i="1"/>
  <c r="C29" i="1"/>
  <c r="H29" i="1"/>
  <c r="F29" i="1"/>
  <c r="E4" i="1"/>
  <c r="C4" i="1"/>
  <c r="H4" i="1"/>
  <c r="F4" i="1"/>
</calcChain>
</file>

<file path=xl/sharedStrings.xml><?xml version="1.0" encoding="utf-8"?>
<sst xmlns="http://schemas.openxmlformats.org/spreadsheetml/2006/main" count="421" uniqueCount="40">
  <si>
    <t>Timestamp</t>
  </si>
  <si>
    <t>Gender</t>
  </si>
  <si>
    <t>Age</t>
  </si>
  <si>
    <t>Height</t>
  </si>
  <si>
    <t>Weight</t>
  </si>
  <si>
    <t>Well-being</t>
  </si>
  <si>
    <t>Thermal feeling (global)</t>
  </si>
  <si>
    <t>Thermal feeling (head)</t>
  </si>
  <si>
    <t>Thermal feeling (hands)</t>
  </si>
  <si>
    <t>Thermal feeling (feet)</t>
  </si>
  <si>
    <t>Thermal comfort (global)</t>
  </si>
  <si>
    <t>Thermal comfort (head)</t>
  </si>
  <si>
    <t>Thermal comfort (hands)</t>
  </si>
  <si>
    <t>Thermal comfort (feet)</t>
  </si>
  <si>
    <t>Position</t>
  </si>
  <si>
    <t>Window / alley</t>
  </si>
  <si>
    <t>Duration</t>
  </si>
  <si>
    <t>Icl</t>
  </si>
  <si>
    <t>Gelenkbereich</t>
  </si>
  <si>
    <t>Hinterwagen - Hinterbereich</t>
  </si>
  <si>
    <t>Hinterwagen - Tür</t>
  </si>
  <si>
    <t>Vorderwagen - Vordere Tür</t>
  </si>
  <si>
    <t>Vorderwagen - Zwischen den Türen</t>
  </si>
  <si>
    <t>Vorderwagen - Hintere Tür</t>
  </si>
  <si>
    <t>Gang</t>
  </si>
  <si>
    <t>Fenster</t>
  </si>
  <si>
    <t>Weniger als 15 Minuten</t>
  </si>
  <si>
    <t>Less than 15 minutes</t>
  </si>
  <si>
    <t>15 to 30 minutes</t>
  </si>
  <si>
    <t>15 bis 30 Minuten</t>
  </si>
  <si>
    <t>45 Minuten bis 1 Stunde</t>
  </si>
  <si>
    <t>Länger als 1 Stunde</t>
  </si>
  <si>
    <t>30 bis 45 Minuten</t>
  </si>
  <si>
    <t>Avg. Temperature</t>
  </si>
  <si>
    <t>Temperature difference</t>
  </si>
  <si>
    <t>RH</t>
  </si>
  <si>
    <t>va</t>
  </si>
  <si>
    <t>Feet temperature</t>
  </si>
  <si>
    <t>Tg</t>
  </si>
  <si>
    <t>Outside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</si>
</sst>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4"/>
  <sheetViews>
    <sheetView tabSelected="1" workbookViewId="0">
      <pane ySplit="1" topLeftCell="A116" activePane="bottomLeft" state="frozen"/>
      <selection activeCell="H1" sqref="H1"/>
      <selection pane="bottomLeft" activeCell="B135" sqref="B135"/>
    </sheetView>
  </sheetViews>
  <sheetFormatPr baseColWidth="10" defaultColWidth="9.1796875" defaultRowHeight="14.5" x14ac:dyDescent="0.35"/>
  <cols>
    <col min="1" max="1" width="17.7265625" bestFit="1" customWidth="1"/>
    <col min="2" max="2" width="18.90625" bestFit="1" customWidth="1"/>
    <col min="3" max="3" width="15.90625" bestFit="1" customWidth="1"/>
    <col min="4" max="4" width="15.6328125" bestFit="1" customWidth="1"/>
    <col min="5" max="5" width="21.6328125" customWidth="1"/>
    <col min="6" max="6" width="5.36328125" bestFit="1" customWidth="1"/>
    <col min="7" max="8" width="5.36328125" customWidth="1"/>
    <col min="13" max="13" width="11" bestFit="1" customWidth="1"/>
    <col min="14" max="14" width="20.54296875" bestFit="1" customWidth="1"/>
    <col min="15" max="15" width="19.7265625" bestFit="1" customWidth="1"/>
    <col min="16" max="16" width="20.6328125" bestFit="1" customWidth="1"/>
    <col min="17" max="17" width="18.90625" bestFit="1" customWidth="1"/>
    <col min="18" max="18" width="21.81640625" bestFit="1" customWidth="1"/>
    <col min="19" max="19" width="21" bestFit="1" customWidth="1"/>
    <col min="20" max="20" width="21.90625" bestFit="1" customWidth="1"/>
    <col min="21" max="21" width="20.08984375" bestFit="1" customWidth="1"/>
    <col min="22" max="22" width="30.453125" bestFit="1" customWidth="1"/>
    <col min="23" max="23" width="13.36328125" bestFit="1" customWidth="1"/>
    <col min="24" max="24" width="21.08984375" bestFit="1" customWidth="1"/>
  </cols>
  <sheetData>
    <row r="1" spans="1:25" x14ac:dyDescent="0.35">
      <c r="A1" s="1" t="s">
        <v>0</v>
      </c>
      <c r="B1" s="1" t="s">
        <v>39</v>
      </c>
      <c r="C1" s="1" t="s">
        <v>33</v>
      </c>
      <c r="D1" s="1" t="s">
        <v>37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x14ac:dyDescent="0.35">
      <c r="A2" s="2">
        <v>44434.369523090281</v>
      </c>
      <c r="B2" s="3">
        <v>15.69</v>
      </c>
      <c r="C2" s="3">
        <v>18.559999999999999</v>
      </c>
      <c r="D2" s="3">
        <v>17.440000000000001</v>
      </c>
      <c r="E2" s="3">
        <v>2.92</v>
      </c>
      <c r="F2" s="3">
        <v>73.44</v>
      </c>
      <c r="G2" s="3">
        <v>0.04</v>
      </c>
      <c r="H2" s="3">
        <v>17.87</v>
      </c>
      <c r="I2">
        <v>0</v>
      </c>
      <c r="J2">
        <v>23</v>
      </c>
      <c r="K2">
        <v>169</v>
      </c>
      <c r="L2">
        <v>74</v>
      </c>
      <c r="M2">
        <v>1</v>
      </c>
      <c r="N2">
        <v>-2</v>
      </c>
      <c r="O2">
        <v>-1</v>
      </c>
      <c r="P2">
        <v>-1</v>
      </c>
      <c r="Q2">
        <v>-3</v>
      </c>
      <c r="R2">
        <v>0</v>
      </c>
      <c r="S2">
        <v>0</v>
      </c>
      <c r="T2">
        <v>0</v>
      </c>
      <c r="U2">
        <v>0</v>
      </c>
      <c r="V2" t="s">
        <v>18</v>
      </c>
      <c r="W2" t="s">
        <v>24</v>
      </c>
      <c r="X2" t="s">
        <v>26</v>
      </c>
      <c r="Y2">
        <v>1.0628</v>
      </c>
    </row>
    <row r="3" spans="1:25" x14ac:dyDescent="0.35">
      <c r="A3" s="2">
        <v>44436.370484108797</v>
      </c>
      <c r="B3" s="3">
        <v>15.59</v>
      </c>
      <c r="C3" s="3">
        <f>(18.59+19.78)/2</f>
        <v>19.185000000000002</v>
      </c>
      <c r="D3" s="3">
        <f>(19.94+18.5)/2</f>
        <v>19.22</v>
      </c>
      <c r="E3" s="3">
        <f>(0.94+2.36)/2</f>
        <v>1.65</v>
      </c>
      <c r="F3" s="3">
        <f>(73.72+75.1)/2</f>
        <v>74.41</v>
      </c>
      <c r="G3" s="3">
        <f>(0.2+0.11)/2</f>
        <v>0.155</v>
      </c>
      <c r="H3" s="3">
        <f>(18.94+17.31)/2</f>
        <v>18.125</v>
      </c>
      <c r="I3">
        <v>1</v>
      </c>
      <c r="J3">
        <v>18</v>
      </c>
      <c r="K3">
        <v>186</v>
      </c>
      <c r="L3">
        <v>105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20</v>
      </c>
      <c r="W3" t="s">
        <v>24</v>
      </c>
      <c r="X3" t="s">
        <v>28</v>
      </c>
      <c r="Y3">
        <v>0.82064999999999999</v>
      </c>
    </row>
    <row r="4" spans="1:25" x14ac:dyDescent="0.35">
      <c r="A4" s="2">
        <v>44434.373108425927</v>
      </c>
      <c r="B4" s="3">
        <v>15.69</v>
      </c>
      <c r="C4" s="3">
        <f>(18.73+20.43)/2</f>
        <v>19.579999999999998</v>
      </c>
      <c r="D4" s="3">
        <f>(18.31+19.62)/2</f>
        <v>18.965</v>
      </c>
      <c r="E4" s="3">
        <f>(2.08+1.41)/2</f>
        <v>1.7450000000000001</v>
      </c>
      <c r="F4" s="3">
        <f>(75.54+70.97)/2</f>
        <v>73.254999999999995</v>
      </c>
      <c r="G4" s="3">
        <v>0.02</v>
      </c>
      <c r="H4" s="3">
        <f>(18.12+19.69)/2</f>
        <v>18.905000000000001</v>
      </c>
      <c r="I4">
        <v>0</v>
      </c>
      <c r="J4">
        <v>33</v>
      </c>
      <c r="K4">
        <v>160</v>
      </c>
      <c r="L4">
        <v>45</v>
      </c>
      <c r="M4">
        <v>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 t="s">
        <v>19</v>
      </c>
      <c r="W4" t="s">
        <v>25</v>
      </c>
      <c r="X4" t="s">
        <v>27</v>
      </c>
      <c r="Y4">
        <v>0.72045000000000003</v>
      </c>
    </row>
    <row r="5" spans="1:25" x14ac:dyDescent="0.35">
      <c r="A5" s="2">
        <v>44434.373321516206</v>
      </c>
      <c r="B5" s="3">
        <v>15.69</v>
      </c>
      <c r="C5" s="3">
        <f>(18.57+19.64)/2</f>
        <v>19.105</v>
      </c>
      <c r="D5" s="3">
        <f>(18.31+19.75)/2</f>
        <v>19.03</v>
      </c>
      <c r="E5" s="3">
        <f>(0.78+2.45)/2</f>
        <v>1.6150000000000002</v>
      </c>
      <c r="F5" s="3">
        <f>(72.36+74.19)/2</f>
        <v>73.275000000000006</v>
      </c>
      <c r="G5" s="3">
        <f>(0.1+0.38)/2</f>
        <v>0.24</v>
      </c>
      <c r="H5" s="3">
        <f>(17.25+19.06)/2</f>
        <v>18.155000000000001</v>
      </c>
      <c r="I5">
        <v>0</v>
      </c>
      <c r="J5">
        <v>26</v>
      </c>
      <c r="K5">
        <v>167</v>
      </c>
      <c r="L5">
        <v>59</v>
      </c>
      <c r="M5">
        <v>1</v>
      </c>
      <c r="N5">
        <v>-1</v>
      </c>
      <c r="O5">
        <v>0</v>
      </c>
      <c r="P5">
        <v>-2</v>
      </c>
      <c r="Q5">
        <v>-1</v>
      </c>
      <c r="R5">
        <v>1</v>
      </c>
      <c r="S5">
        <v>1</v>
      </c>
      <c r="T5">
        <v>1</v>
      </c>
      <c r="U5">
        <v>1</v>
      </c>
      <c r="V5" t="s">
        <v>20</v>
      </c>
      <c r="W5" t="s">
        <v>25</v>
      </c>
      <c r="X5" t="s">
        <v>26</v>
      </c>
      <c r="Y5">
        <v>0.65364999999999995</v>
      </c>
    </row>
    <row r="6" spans="1:25" x14ac:dyDescent="0.35">
      <c r="A6" s="2">
        <v>44434.373867164351</v>
      </c>
      <c r="B6" s="3">
        <v>15.69</v>
      </c>
      <c r="C6" s="3">
        <v>19.05</v>
      </c>
      <c r="D6" s="3">
        <v>16.809999999999999</v>
      </c>
      <c r="E6" s="3">
        <v>3.47</v>
      </c>
      <c r="F6" s="3">
        <v>77.180000000000007</v>
      </c>
      <c r="G6" s="3">
        <v>0.24</v>
      </c>
      <c r="H6" s="3">
        <v>18.62</v>
      </c>
      <c r="I6">
        <v>0</v>
      </c>
      <c r="J6">
        <v>47</v>
      </c>
      <c r="K6">
        <v>172</v>
      </c>
      <c r="L6">
        <v>70</v>
      </c>
      <c r="M6">
        <v>2</v>
      </c>
      <c r="N6">
        <v>2</v>
      </c>
      <c r="O6">
        <v>2</v>
      </c>
      <c r="P6">
        <v>2</v>
      </c>
      <c r="Q6">
        <v>2</v>
      </c>
      <c r="R6">
        <v>0</v>
      </c>
      <c r="S6">
        <v>0</v>
      </c>
      <c r="T6">
        <v>0</v>
      </c>
      <c r="U6">
        <v>0</v>
      </c>
      <c r="V6" t="s">
        <v>21</v>
      </c>
      <c r="W6" t="s">
        <v>24</v>
      </c>
      <c r="X6" t="s">
        <v>26</v>
      </c>
      <c r="Y6">
        <v>0.74549999999999994</v>
      </c>
    </row>
    <row r="7" spans="1:25" x14ac:dyDescent="0.35">
      <c r="A7" s="2">
        <v>44434.373882743057</v>
      </c>
      <c r="B7" s="3">
        <v>15.69</v>
      </c>
      <c r="C7" s="3">
        <f>(18.81+20.58)/2</f>
        <v>19.695</v>
      </c>
      <c r="D7" s="3">
        <f>(18.44+19.75)/2</f>
        <v>19.094999999999999</v>
      </c>
      <c r="E7" s="3">
        <f>(1.52+2.08)/2</f>
        <v>1.8</v>
      </c>
      <c r="F7" s="3">
        <f>(70.93+75.85)/2</f>
        <v>73.39</v>
      </c>
      <c r="G7" s="3">
        <v>0.02</v>
      </c>
      <c r="H7" s="3">
        <f>(19.75)</f>
        <v>19.75</v>
      </c>
      <c r="I7">
        <v>1</v>
      </c>
      <c r="J7">
        <v>23</v>
      </c>
      <c r="K7">
        <v>185</v>
      </c>
      <c r="L7">
        <v>73</v>
      </c>
      <c r="M7">
        <v>2</v>
      </c>
      <c r="N7">
        <v>-1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19</v>
      </c>
      <c r="W7" t="s">
        <v>24</v>
      </c>
      <c r="X7" t="s">
        <v>26</v>
      </c>
      <c r="Y7">
        <v>0.98765000000000003</v>
      </c>
    </row>
    <row r="8" spans="1:25" x14ac:dyDescent="0.35">
      <c r="A8" s="2">
        <v>44434.374052430547</v>
      </c>
      <c r="B8" s="3">
        <v>15.69</v>
      </c>
      <c r="C8" s="3">
        <v>19.079999999999998</v>
      </c>
      <c r="D8" s="3">
        <v>16.75</v>
      </c>
      <c r="E8" s="3">
        <v>3.56</v>
      </c>
      <c r="F8" s="3">
        <v>77.14</v>
      </c>
      <c r="G8" s="3">
        <v>0.26</v>
      </c>
      <c r="H8" s="3">
        <v>18.690000000000001</v>
      </c>
      <c r="I8">
        <v>1</v>
      </c>
      <c r="J8">
        <v>49</v>
      </c>
      <c r="K8">
        <v>178</v>
      </c>
      <c r="L8">
        <v>60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21</v>
      </c>
      <c r="W8" t="s">
        <v>25</v>
      </c>
      <c r="X8" t="s">
        <v>28</v>
      </c>
      <c r="Y8">
        <v>0.39479999999999998</v>
      </c>
    </row>
    <row r="9" spans="1:25" x14ac:dyDescent="0.35">
      <c r="A9" s="2">
        <v>44434.374907291669</v>
      </c>
      <c r="B9" s="3">
        <v>15.81</v>
      </c>
      <c r="C9" s="3">
        <v>18.649999999999999</v>
      </c>
      <c r="D9" s="3">
        <v>17.62</v>
      </c>
      <c r="E9" s="3">
        <v>3.1</v>
      </c>
      <c r="F9" s="3">
        <v>72.33</v>
      </c>
      <c r="G9" s="3">
        <v>0.04</v>
      </c>
      <c r="H9" s="3">
        <v>18.37</v>
      </c>
      <c r="I9">
        <v>1</v>
      </c>
      <c r="J9">
        <v>29</v>
      </c>
      <c r="K9">
        <v>192</v>
      </c>
      <c r="L9">
        <v>95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 t="s">
        <v>18</v>
      </c>
      <c r="W9" t="s">
        <v>24</v>
      </c>
      <c r="X9" t="s">
        <v>29</v>
      </c>
      <c r="Y9">
        <v>0.65365000000000006</v>
      </c>
    </row>
    <row r="10" spans="1:25" x14ac:dyDescent="0.35">
      <c r="A10" s="2">
        <v>44434.376783148153</v>
      </c>
      <c r="B10" s="3">
        <v>15.81</v>
      </c>
      <c r="C10" s="3">
        <f>(19.79+18.81)/2</f>
        <v>19.299999999999997</v>
      </c>
      <c r="D10" s="3">
        <f>(19.81+18.62)/2</f>
        <v>19.215</v>
      </c>
      <c r="E10" s="3">
        <f>(2.41+0.71)/2</f>
        <v>1.56</v>
      </c>
      <c r="F10" s="3">
        <f>(72+73.54)/2</f>
        <v>72.77000000000001</v>
      </c>
      <c r="G10" s="3">
        <f>(0.1+0.26)/2</f>
        <v>0.18</v>
      </c>
      <c r="H10" s="3">
        <f>(17.5+19.25)/2</f>
        <v>18.375</v>
      </c>
      <c r="I10">
        <v>0</v>
      </c>
      <c r="J10">
        <v>27</v>
      </c>
      <c r="K10">
        <v>155</v>
      </c>
      <c r="L10">
        <v>55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20</v>
      </c>
      <c r="W10" t="s">
        <v>24</v>
      </c>
      <c r="X10" t="s">
        <v>27</v>
      </c>
      <c r="Y10">
        <v>0.70374999999999999</v>
      </c>
    </row>
    <row r="11" spans="1:25" x14ac:dyDescent="0.35">
      <c r="A11" s="2">
        <v>44434.37977</v>
      </c>
      <c r="B11" s="3">
        <v>15.81</v>
      </c>
      <c r="C11" s="3">
        <f>(19.75+18.71)/2</f>
        <v>19.23</v>
      </c>
      <c r="D11" s="3">
        <f>(18.37+19.75)/2</f>
        <v>19.060000000000002</v>
      </c>
      <c r="E11" s="3">
        <f>(2.41+0.82)/2</f>
        <v>1.615</v>
      </c>
      <c r="F11" s="3">
        <f>(71.08+72.37)/2</f>
        <v>71.724999999999994</v>
      </c>
      <c r="G11" s="3">
        <f>(0.08+0.27)/2</f>
        <v>0.17500000000000002</v>
      </c>
      <c r="H11" s="3">
        <f>(17.5+19.44)/2</f>
        <v>18.47</v>
      </c>
      <c r="I11">
        <v>1</v>
      </c>
      <c r="J11">
        <v>33</v>
      </c>
      <c r="K11">
        <v>190</v>
      </c>
      <c r="L11">
        <v>100</v>
      </c>
      <c r="M11">
        <v>1</v>
      </c>
      <c r="N11">
        <v>1</v>
      </c>
      <c r="O11">
        <v>1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 t="s">
        <v>20</v>
      </c>
      <c r="W11" t="s">
        <v>25</v>
      </c>
      <c r="X11" t="s">
        <v>26</v>
      </c>
      <c r="Y11">
        <v>0.98765000000000003</v>
      </c>
    </row>
    <row r="12" spans="1:25" x14ac:dyDescent="0.35">
      <c r="A12" s="2">
        <v>44434.379869270837</v>
      </c>
      <c r="B12" s="3">
        <v>15.91</v>
      </c>
      <c r="C12" s="3">
        <f>(19.74+18.71)/2</f>
        <v>19.225000000000001</v>
      </c>
      <c r="D12" s="3">
        <f>(19.75+18.37)/2</f>
        <v>19.060000000000002</v>
      </c>
      <c r="E12" s="3">
        <f>(2.41+0.82)/2</f>
        <v>1.615</v>
      </c>
      <c r="F12" s="3">
        <f>(70.95+72.4)/2</f>
        <v>71.675000000000011</v>
      </c>
      <c r="G12" s="3">
        <f>(0.29+0.07)/2</f>
        <v>0.18</v>
      </c>
      <c r="H12" s="3">
        <f>(17.44+19.44)/2</f>
        <v>18.440000000000001</v>
      </c>
      <c r="I12">
        <v>1</v>
      </c>
      <c r="J12">
        <v>56</v>
      </c>
      <c r="K12">
        <v>187</v>
      </c>
      <c r="L12">
        <v>130</v>
      </c>
      <c r="M12">
        <v>1</v>
      </c>
      <c r="N12">
        <v>-1</v>
      </c>
      <c r="O12">
        <v>-1</v>
      </c>
      <c r="P12">
        <v>-1</v>
      </c>
      <c r="Q12">
        <v>-1</v>
      </c>
      <c r="R12">
        <v>0</v>
      </c>
      <c r="S12">
        <v>0</v>
      </c>
      <c r="T12">
        <v>0</v>
      </c>
      <c r="U12">
        <v>0</v>
      </c>
      <c r="V12" t="s">
        <v>20</v>
      </c>
      <c r="W12" t="s">
        <v>24</v>
      </c>
      <c r="X12" t="s">
        <v>29</v>
      </c>
      <c r="Y12">
        <v>0.81230000000000002</v>
      </c>
    </row>
    <row r="13" spans="1:25" x14ac:dyDescent="0.35">
      <c r="A13" s="2">
        <v>44434.380125416668</v>
      </c>
      <c r="B13" s="3">
        <v>15.91</v>
      </c>
      <c r="C13" s="3">
        <f>(19.76+18.73)/2</f>
        <v>19.245000000000001</v>
      </c>
      <c r="D13" s="3">
        <f>(18.37+19.69)/2</f>
        <v>19.03</v>
      </c>
      <c r="E13" s="3">
        <f>(2.36+0.78)/2</f>
        <v>1.5699999999999998</v>
      </c>
      <c r="F13" s="3">
        <f>(70.92+72.39)/2</f>
        <v>71.655000000000001</v>
      </c>
      <c r="G13" s="3">
        <f>(0.18+0.08)/2</f>
        <v>0.13</v>
      </c>
      <c r="H13" s="3">
        <f>(19.44+17.5)/2</f>
        <v>18.47</v>
      </c>
      <c r="I13">
        <v>0</v>
      </c>
      <c r="J13">
        <v>46</v>
      </c>
      <c r="K13">
        <v>155</v>
      </c>
      <c r="L13">
        <v>73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 t="s">
        <v>20</v>
      </c>
      <c r="W13" t="s">
        <v>25</v>
      </c>
      <c r="X13" t="s">
        <v>26</v>
      </c>
      <c r="Y13">
        <v>0.90415000000000001</v>
      </c>
    </row>
    <row r="14" spans="1:25" x14ac:dyDescent="0.35">
      <c r="A14" s="2">
        <v>44434.380500671286</v>
      </c>
      <c r="B14" s="3">
        <v>15.91</v>
      </c>
      <c r="C14" s="3">
        <v>18.71</v>
      </c>
      <c r="D14" s="3">
        <v>17.559999999999999</v>
      </c>
      <c r="E14" s="3">
        <v>3.01</v>
      </c>
      <c r="F14" s="3">
        <v>72.42</v>
      </c>
      <c r="G14" s="3">
        <v>0.04</v>
      </c>
      <c r="H14" s="3">
        <v>18.5</v>
      </c>
      <c r="I14">
        <v>1</v>
      </c>
      <c r="J14">
        <v>38</v>
      </c>
      <c r="K14">
        <v>191</v>
      </c>
      <c r="L14">
        <v>78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18</v>
      </c>
      <c r="W14" t="s">
        <v>25</v>
      </c>
      <c r="X14" t="s">
        <v>26</v>
      </c>
      <c r="Y14">
        <v>1.1713499999999999</v>
      </c>
    </row>
    <row r="15" spans="1:25" x14ac:dyDescent="0.35">
      <c r="A15" s="2">
        <v>44434.380783796303</v>
      </c>
      <c r="B15" s="3">
        <v>15.91</v>
      </c>
      <c r="C15" s="3">
        <v>19.12</v>
      </c>
      <c r="D15" s="3">
        <v>16.62</v>
      </c>
      <c r="E15" s="3">
        <v>3.59</v>
      </c>
      <c r="F15" s="3">
        <v>75.91</v>
      </c>
      <c r="G15" s="3">
        <v>0.26</v>
      </c>
      <c r="H15" s="3">
        <v>19.12</v>
      </c>
      <c r="I15">
        <v>0</v>
      </c>
      <c r="J15">
        <v>47</v>
      </c>
      <c r="K15">
        <v>165</v>
      </c>
      <c r="L15">
        <v>60</v>
      </c>
      <c r="M15">
        <v>2</v>
      </c>
      <c r="N15">
        <v>0</v>
      </c>
      <c r="O15">
        <v>-1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 t="s">
        <v>21</v>
      </c>
      <c r="W15" t="s">
        <v>25</v>
      </c>
      <c r="X15" t="s">
        <v>30</v>
      </c>
      <c r="Y15">
        <v>0.98765000000000003</v>
      </c>
    </row>
    <row r="16" spans="1:25" x14ac:dyDescent="0.35">
      <c r="A16" s="2">
        <v>44434.38078511574</v>
      </c>
      <c r="B16" s="3">
        <v>15.91</v>
      </c>
      <c r="C16" s="3">
        <v>19.29</v>
      </c>
      <c r="D16" s="3">
        <v>18.37</v>
      </c>
      <c r="E16" s="3">
        <v>1.2</v>
      </c>
      <c r="F16" s="3">
        <v>77.400000000000006</v>
      </c>
      <c r="G16" s="3">
        <v>0.08</v>
      </c>
      <c r="H16" s="3">
        <v>19.12</v>
      </c>
      <c r="I16">
        <v>0</v>
      </c>
      <c r="J16">
        <v>39</v>
      </c>
      <c r="K16">
        <v>150</v>
      </c>
      <c r="L16">
        <v>66</v>
      </c>
      <c r="M16">
        <v>1</v>
      </c>
      <c r="N16">
        <v>-2</v>
      </c>
      <c r="O16">
        <v>-2</v>
      </c>
      <c r="P16">
        <v>-2</v>
      </c>
      <c r="Q16">
        <v>-2</v>
      </c>
      <c r="R16">
        <v>0</v>
      </c>
      <c r="S16">
        <v>0</v>
      </c>
      <c r="T16">
        <v>0</v>
      </c>
      <c r="U16">
        <v>0</v>
      </c>
      <c r="V16" t="s">
        <v>22</v>
      </c>
      <c r="W16" t="s">
        <v>25</v>
      </c>
      <c r="X16" t="s">
        <v>27</v>
      </c>
      <c r="Y16">
        <v>1.4719500000000001</v>
      </c>
    </row>
    <row r="17" spans="1:25" x14ac:dyDescent="0.35">
      <c r="A17" s="2">
        <v>44434.383793749999</v>
      </c>
      <c r="B17" s="3">
        <v>16.100000000000001</v>
      </c>
      <c r="C17" s="3">
        <f>(19+19.84)/2</f>
        <v>19.420000000000002</v>
      </c>
      <c r="D17" s="3">
        <f>(18.69+19.69)/2</f>
        <v>19.190000000000001</v>
      </c>
      <c r="E17" s="3">
        <f>(2.22+0.74)/2</f>
        <v>1.48</v>
      </c>
      <c r="F17" s="3">
        <f>(70.5)</f>
        <v>70.5</v>
      </c>
      <c r="G17" s="3">
        <f>(0.24+0.08)/2</f>
        <v>0.16</v>
      </c>
      <c r="H17" s="3">
        <f>(17.5+19.56)/2</f>
        <v>18.53</v>
      </c>
      <c r="I17">
        <v>1</v>
      </c>
      <c r="J17">
        <v>22</v>
      </c>
      <c r="K17">
        <v>184</v>
      </c>
      <c r="L17">
        <v>78</v>
      </c>
      <c r="M17">
        <v>2</v>
      </c>
      <c r="N17">
        <v>-1</v>
      </c>
      <c r="O17">
        <v>-1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 t="s">
        <v>20</v>
      </c>
      <c r="W17" t="s">
        <v>24</v>
      </c>
      <c r="X17" t="s">
        <v>29</v>
      </c>
      <c r="Y17">
        <v>0.75385000000000002</v>
      </c>
    </row>
    <row r="18" spans="1:25" x14ac:dyDescent="0.35">
      <c r="A18" s="2">
        <v>44434.384766342591</v>
      </c>
      <c r="B18" s="3">
        <v>16.100000000000001</v>
      </c>
      <c r="C18" s="3">
        <v>19.39</v>
      </c>
      <c r="D18" s="3">
        <v>18.5</v>
      </c>
      <c r="E18" s="3">
        <v>1.0900000000000001</v>
      </c>
      <c r="F18" s="3">
        <v>75.36</v>
      </c>
      <c r="G18" s="3">
        <v>0.08</v>
      </c>
      <c r="H18" s="3">
        <v>19.37</v>
      </c>
      <c r="I18">
        <v>0</v>
      </c>
      <c r="J18">
        <v>43</v>
      </c>
      <c r="K18">
        <v>158</v>
      </c>
      <c r="L18">
        <v>63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22</v>
      </c>
      <c r="W18" t="s">
        <v>25</v>
      </c>
      <c r="X18" t="s">
        <v>27</v>
      </c>
      <c r="Y18">
        <v>0.68705000000000005</v>
      </c>
    </row>
    <row r="19" spans="1:25" x14ac:dyDescent="0.35">
      <c r="A19" s="2">
        <v>44434.389908067133</v>
      </c>
      <c r="B19" s="3">
        <v>16.5</v>
      </c>
      <c r="C19" s="3">
        <v>19.86</v>
      </c>
      <c r="D19" s="3">
        <v>19</v>
      </c>
      <c r="E19" s="3">
        <v>1.0900000000000001</v>
      </c>
      <c r="F19" s="3">
        <v>74.73</v>
      </c>
      <c r="G19" s="3">
        <v>0.08</v>
      </c>
      <c r="H19" s="3">
        <v>20.059999999999999</v>
      </c>
      <c r="I19">
        <v>1</v>
      </c>
      <c r="J19">
        <v>25</v>
      </c>
      <c r="K19">
        <v>170</v>
      </c>
      <c r="L19">
        <v>68</v>
      </c>
      <c r="M19">
        <v>1</v>
      </c>
      <c r="N19">
        <v>0</v>
      </c>
      <c r="O19">
        <v>0</v>
      </c>
      <c r="P19">
        <v>0</v>
      </c>
      <c r="Q19">
        <v>-1</v>
      </c>
      <c r="R19">
        <v>0</v>
      </c>
      <c r="S19">
        <v>0</v>
      </c>
      <c r="T19">
        <v>0</v>
      </c>
      <c r="U19">
        <v>0</v>
      </c>
      <c r="V19" t="s">
        <v>22</v>
      </c>
      <c r="W19" t="s">
        <v>25</v>
      </c>
      <c r="X19" t="s">
        <v>31</v>
      </c>
      <c r="Y19">
        <v>0.58684999999999998</v>
      </c>
    </row>
    <row r="20" spans="1:25" x14ac:dyDescent="0.35">
      <c r="A20" s="2">
        <v>44434.392478553244</v>
      </c>
      <c r="B20" s="3">
        <v>16.3</v>
      </c>
      <c r="C20" s="3">
        <v>19.5</v>
      </c>
      <c r="D20" s="3">
        <v>18.309999999999999</v>
      </c>
      <c r="E20" s="3">
        <v>3.1</v>
      </c>
      <c r="F20" s="3">
        <v>71.040000000000006</v>
      </c>
      <c r="G20" s="3">
        <v>0.04</v>
      </c>
      <c r="H20" s="3">
        <v>19.309999999999999</v>
      </c>
      <c r="I20">
        <v>0</v>
      </c>
      <c r="J20">
        <v>24</v>
      </c>
      <c r="K20">
        <v>165</v>
      </c>
      <c r="L20">
        <v>54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 t="s">
        <v>18</v>
      </c>
      <c r="W20" t="s">
        <v>25</v>
      </c>
      <c r="X20" t="s">
        <v>29</v>
      </c>
      <c r="Y20">
        <v>1.1129</v>
      </c>
    </row>
    <row r="21" spans="1:25" x14ac:dyDescent="0.35">
      <c r="A21" s="2">
        <v>44434.392822222217</v>
      </c>
      <c r="B21" s="3">
        <v>16.3</v>
      </c>
      <c r="C21" s="3">
        <v>20.07</v>
      </c>
      <c r="D21" s="3">
        <v>19.12</v>
      </c>
      <c r="E21" s="3">
        <v>1.1499999999999999</v>
      </c>
      <c r="F21" s="3">
        <v>75.69</v>
      </c>
      <c r="G21" s="3">
        <v>0.08</v>
      </c>
      <c r="H21" s="3">
        <v>20.190000000000001</v>
      </c>
      <c r="I21">
        <v>0</v>
      </c>
      <c r="J21">
        <v>19</v>
      </c>
      <c r="K21">
        <v>167</v>
      </c>
      <c r="L21">
        <v>64</v>
      </c>
      <c r="M21">
        <v>2</v>
      </c>
      <c r="N21">
        <v>1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22</v>
      </c>
      <c r="W21" t="s">
        <v>25</v>
      </c>
      <c r="X21" t="s">
        <v>29</v>
      </c>
      <c r="Y21">
        <v>0.58684999999999998</v>
      </c>
    </row>
    <row r="22" spans="1:25" x14ac:dyDescent="0.35">
      <c r="A22" s="2">
        <v>44434.392966562496</v>
      </c>
      <c r="B22" s="3">
        <v>16.3</v>
      </c>
      <c r="C22" s="3">
        <f>(19.58+20.72)/2</f>
        <v>20.149999999999999</v>
      </c>
      <c r="D22" s="3">
        <f>(19.44+20.69)/2</f>
        <v>20.065000000000001</v>
      </c>
      <c r="E22" s="3">
        <f>(2.18+1.05)/2</f>
        <v>1.6150000000000002</v>
      </c>
      <c r="F22" s="3">
        <f>(69.47+71.21)/2</f>
        <v>70.34</v>
      </c>
      <c r="G22" s="3">
        <f>(0.11+0.19)/2</f>
        <v>0.15</v>
      </c>
      <c r="H22" s="3">
        <f>(20.19+17.75)/2</f>
        <v>18.97</v>
      </c>
      <c r="I22">
        <v>1</v>
      </c>
      <c r="J22">
        <v>16</v>
      </c>
      <c r="K22">
        <v>180</v>
      </c>
      <c r="L22">
        <v>90</v>
      </c>
      <c r="M22">
        <v>2</v>
      </c>
      <c r="N22">
        <v>2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 t="s">
        <v>20</v>
      </c>
      <c r="W22" t="s">
        <v>25</v>
      </c>
      <c r="X22" t="s">
        <v>26</v>
      </c>
      <c r="Y22">
        <v>0.55345</v>
      </c>
    </row>
    <row r="23" spans="1:25" x14ac:dyDescent="0.35">
      <c r="A23" s="2">
        <v>44434.394050995368</v>
      </c>
      <c r="B23" s="3">
        <v>16.2</v>
      </c>
      <c r="C23" s="3">
        <f>(20.655+19.625)/2</f>
        <v>20.14</v>
      </c>
      <c r="D23" s="3">
        <f>(20.56+19.69)/2</f>
        <v>20.125</v>
      </c>
      <c r="E23" s="3">
        <f>(0.8625+2.31)/2</f>
        <v>1.5862500000000002</v>
      </c>
      <c r="F23" s="3">
        <f>(69.03+70.84)/2</f>
        <v>69.935000000000002</v>
      </c>
      <c r="G23" s="3">
        <f>(0.08+0.19)/2</f>
        <v>0.13500000000000001</v>
      </c>
      <c r="H23" s="3">
        <f>(17.75+20.25)/2</f>
        <v>19</v>
      </c>
      <c r="I23">
        <v>0</v>
      </c>
      <c r="J23">
        <v>58</v>
      </c>
      <c r="K23">
        <v>163</v>
      </c>
      <c r="L23">
        <v>99</v>
      </c>
      <c r="M23">
        <v>1</v>
      </c>
      <c r="N23">
        <v>1</v>
      </c>
      <c r="O23">
        <v>1</v>
      </c>
      <c r="P23">
        <v>2</v>
      </c>
      <c r="Q23">
        <v>2</v>
      </c>
      <c r="R23">
        <v>0</v>
      </c>
      <c r="S23">
        <v>0</v>
      </c>
      <c r="T23">
        <v>0</v>
      </c>
      <c r="U23">
        <v>0</v>
      </c>
      <c r="V23" t="s">
        <v>20</v>
      </c>
      <c r="W23" t="s">
        <v>25</v>
      </c>
      <c r="X23" t="s">
        <v>26</v>
      </c>
      <c r="Y23">
        <v>1.0126999999999999</v>
      </c>
    </row>
    <row r="24" spans="1:25" x14ac:dyDescent="0.35">
      <c r="A24" s="2">
        <v>44434.395813703697</v>
      </c>
      <c r="B24" s="3">
        <v>16.41</v>
      </c>
      <c r="C24" s="3">
        <v>20.18</v>
      </c>
      <c r="D24" s="3">
        <v>17.440000000000001</v>
      </c>
      <c r="E24" s="3">
        <v>3.47</v>
      </c>
      <c r="F24" s="3">
        <v>73.41</v>
      </c>
      <c r="G24" s="3">
        <v>0.28999999999999998</v>
      </c>
      <c r="H24" s="3">
        <v>20.56</v>
      </c>
      <c r="I24">
        <v>1</v>
      </c>
      <c r="J24">
        <v>18</v>
      </c>
      <c r="K24">
        <v>188</v>
      </c>
      <c r="L24">
        <v>88</v>
      </c>
      <c r="M24">
        <v>2</v>
      </c>
      <c r="N24">
        <v>0</v>
      </c>
      <c r="O24">
        <v>0</v>
      </c>
      <c r="P24">
        <v>-1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21</v>
      </c>
      <c r="W24" t="s">
        <v>25</v>
      </c>
      <c r="X24" t="s">
        <v>26</v>
      </c>
      <c r="Y24">
        <v>0.60355000000000003</v>
      </c>
    </row>
    <row r="25" spans="1:25" x14ac:dyDescent="0.35">
      <c r="A25" s="2">
        <v>44434.418959363429</v>
      </c>
      <c r="B25" s="3">
        <v>17.7</v>
      </c>
      <c r="C25" s="3">
        <f>(20.56+22.87)/2</f>
        <v>21.715</v>
      </c>
      <c r="D25" s="3">
        <f>(21.56+20.75)/2</f>
        <v>21.155000000000001</v>
      </c>
      <c r="E25" s="3">
        <f>(2.7+1.76)/2</f>
        <v>2.23</v>
      </c>
      <c r="F25" s="3">
        <f>(59.81+64.71)/2</f>
        <v>62.26</v>
      </c>
      <c r="G25" s="3">
        <f>(0.1+0.18)/2</f>
        <v>0.14000000000000001</v>
      </c>
      <c r="H25" s="3">
        <f>(21.81+18.87)/2</f>
        <v>20.34</v>
      </c>
      <c r="I25">
        <v>0</v>
      </c>
      <c r="J25">
        <v>24</v>
      </c>
      <c r="K25">
        <v>165</v>
      </c>
      <c r="L25">
        <v>60</v>
      </c>
      <c r="M25">
        <v>1</v>
      </c>
      <c r="N25">
        <v>0</v>
      </c>
      <c r="O25">
        <v>0</v>
      </c>
      <c r="P25">
        <v>-1</v>
      </c>
      <c r="Q25">
        <v>1</v>
      </c>
      <c r="R25">
        <v>0</v>
      </c>
      <c r="S25">
        <v>0</v>
      </c>
      <c r="T25">
        <v>0</v>
      </c>
      <c r="U25">
        <v>0</v>
      </c>
      <c r="V25" t="s">
        <v>20</v>
      </c>
      <c r="W25" t="s">
        <v>25</v>
      </c>
      <c r="X25" t="s">
        <v>26</v>
      </c>
      <c r="Y25">
        <v>0.38645000000000002</v>
      </c>
    </row>
    <row r="26" spans="1:25" x14ac:dyDescent="0.35">
      <c r="A26" s="2">
        <v>44434.419064502312</v>
      </c>
      <c r="B26" s="3">
        <v>17.7</v>
      </c>
      <c r="C26" s="3">
        <v>20.54</v>
      </c>
      <c r="D26" s="3">
        <v>18.87</v>
      </c>
      <c r="E26" s="3">
        <v>3.8</v>
      </c>
      <c r="F26" s="3">
        <v>66.41</v>
      </c>
      <c r="G26" s="3">
        <v>0.05</v>
      </c>
      <c r="H26" s="3">
        <v>19.75</v>
      </c>
      <c r="I26">
        <v>1</v>
      </c>
      <c r="J26">
        <v>68</v>
      </c>
      <c r="K26">
        <v>180</v>
      </c>
      <c r="L26">
        <v>79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t="s">
        <v>18</v>
      </c>
      <c r="W26" t="s">
        <v>25</v>
      </c>
      <c r="X26" t="s">
        <v>30</v>
      </c>
      <c r="Y26">
        <v>0.93754999999999999</v>
      </c>
    </row>
    <row r="27" spans="1:25" x14ac:dyDescent="0.35">
      <c r="A27" s="2">
        <v>44434.419338043983</v>
      </c>
      <c r="B27" s="3">
        <v>17.7</v>
      </c>
      <c r="C27" s="3">
        <v>20.92</v>
      </c>
      <c r="D27" s="3">
        <v>20.059999999999999</v>
      </c>
      <c r="E27" s="3">
        <v>1.74</v>
      </c>
      <c r="F27" s="3">
        <v>72.459999999999994</v>
      </c>
      <c r="G27" s="3">
        <v>0.08</v>
      </c>
      <c r="H27" s="3">
        <v>20.56</v>
      </c>
      <c r="I27">
        <v>0</v>
      </c>
      <c r="J27">
        <v>34</v>
      </c>
      <c r="K27">
        <v>165</v>
      </c>
      <c r="L27">
        <v>78</v>
      </c>
      <c r="M27">
        <v>1</v>
      </c>
      <c r="N27">
        <v>1</v>
      </c>
      <c r="O27">
        <v>1</v>
      </c>
      <c r="P27">
        <v>2</v>
      </c>
      <c r="Q27">
        <v>2</v>
      </c>
      <c r="R27">
        <v>1</v>
      </c>
      <c r="S27">
        <v>0</v>
      </c>
      <c r="T27">
        <v>1</v>
      </c>
      <c r="U27">
        <v>1</v>
      </c>
      <c r="V27" t="s">
        <v>22</v>
      </c>
      <c r="W27" t="s">
        <v>25</v>
      </c>
      <c r="X27" t="s">
        <v>26</v>
      </c>
      <c r="Y27">
        <v>0.75385000000000002</v>
      </c>
    </row>
    <row r="28" spans="1:25" x14ac:dyDescent="0.35">
      <c r="A28" s="2">
        <v>44434.422393900473</v>
      </c>
      <c r="B28" s="3">
        <v>17.600000000000001</v>
      </c>
      <c r="C28" s="3">
        <f>(22.14+20.59)/2</f>
        <v>21.365000000000002</v>
      </c>
      <c r="D28" s="3">
        <f>(20.88+21.69)/2</f>
        <v>21.285</v>
      </c>
      <c r="E28" s="3">
        <f>(0.7+1.9)/2</f>
        <v>1.2999999999999998</v>
      </c>
      <c r="F28" s="3">
        <f>(59.44+63.07)/2</f>
        <v>61.254999999999995</v>
      </c>
      <c r="G28" s="3">
        <f>(0.09+0.26)/2</f>
        <v>0.17499999999999999</v>
      </c>
      <c r="H28" s="3">
        <f>(18.94+22.06)/2</f>
        <v>20.5</v>
      </c>
      <c r="I28">
        <v>0</v>
      </c>
      <c r="J28">
        <v>31</v>
      </c>
      <c r="K28">
        <v>163</v>
      </c>
      <c r="L28">
        <v>60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20</v>
      </c>
      <c r="W28" t="s">
        <v>25</v>
      </c>
      <c r="X28" t="s">
        <v>26</v>
      </c>
      <c r="Y28">
        <v>0.62024999999999997</v>
      </c>
    </row>
    <row r="29" spans="1:25" x14ac:dyDescent="0.35">
      <c r="A29" s="2">
        <v>44434.422894965282</v>
      </c>
      <c r="B29" s="3">
        <v>17.600000000000001</v>
      </c>
      <c r="C29" s="3">
        <f>(20.89+23.08)/2</f>
        <v>21.984999999999999</v>
      </c>
      <c r="D29" s="3">
        <f>(20.31+23.38)/2</f>
        <v>21.844999999999999</v>
      </c>
      <c r="E29" s="3">
        <f>(1.57+1.36)/2</f>
        <v>1.4650000000000001</v>
      </c>
      <c r="F29" s="3">
        <f>(63.44+56.76)/2</f>
        <v>60.099999999999994</v>
      </c>
      <c r="G29" s="3">
        <v>0.03</v>
      </c>
      <c r="H29" s="3">
        <f>(20.56+23.44)/2</f>
        <v>22</v>
      </c>
      <c r="I29">
        <v>0</v>
      </c>
      <c r="J29">
        <v>39</v>
      </c>
      <c r="K29">
        <v>167</v>
      </c>
      <c r="L29">
        <v>68</v>
      </c>
      <c r="M29">
        <v>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19</v>
      </c>
      <c r="W29" t="s">
        <v>25</v>
      </c>
      <c r="X29" t="s">
        <v>32</v>
      </c>
      <c r="Y29">
        <v>0.94589999999999996</v>
      </c>
    </row>
    <row r="30" spans="1:25" x14ac:dyDescent="0.35">
      <c r="A30" s="2">
        <v>44434.423492905087</v>
      </c>
      <c r="B30" s="3">
        <v>17.5</v>
      </c>
      <c r="C30" s="3">
        <v>20.69</v>
      </c>
      <c r="D30" s="3">
        <v>19.190000000000001</v>
      </c>
      <c r="E30" s="3">
        <v>3.01</v>
      </c>
      <c r="F30" s="3">
        <v>64.11</v>
      </c>
      <c r="G30" s="3">
        <v>0.09</v>
      </c>
      <c r="H30" s="3">
        <v>20.5</v>
      </c>
      <c r="I30">
        <v>1</v>
      </c>
      <c r="J30">
        <v>48</v>
      </c>
      <c r="K30">
        <v>180</v>
      </c>
      <c r="L30">
        <v>70</v>
      </c>
      <c r="M30">
        <v>1</v>
      </c>
      <c r="N30">
        <v>1</v>
      </c>
      <c r="O30">
        <v>2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 t="s">
        <v>18</v>
      </c>
      <c r="W30" t="s">
        <v>25</v>
      </c>
      <c r="X30" t="s">
        <v>26</v>
      </c>
      <c r="Y30">
        <v>0.68705000000000005</v>
      </c>
    </row>
    <row r="31" spans="1:25" x14ac:dyDescent="0.35">
      <c r="A31" s="2">
        <v>44434.425648761571</v>
      </c>
      <c r="B31" s="3">
        <v>17.5</v>
      </c>
      <c r="C31" s="3">
        <f>(22.15+21.03)/2</f>
        <v>21.59</v>
      </c>
      <c r="D31" s="3">
        <f>(22+21.87)/2</f>
        <v>21.935000000000002</v>
      </c>
      <c r="E31" s="3">
        <f>(1.9+0.23)/2</f>
        <v>1.0649999999999999</v>
      </c>
      <c r="F31" s="3">
        <f>(62.87+65.27)/2</f>
        <v>64.069999999999993</v>
      </c>
      <c r="G31" s="3">
        <f>(0.25+0.11)/2</f>
        <v>0.18</v>
      </c>
      <c r="H31" s="3">
        <f>(19+21.75)/2</f>
        <v>20.375</v>
      </c>
      <c r="I31">
        <v>0</v>
      </c>
      <c r="J31">
        <v>30</v>
      </c>
      <c r="K31">
        <v>172</v>
      </c>
      <c r="L31">
        <v>66</v>
      </c>
      <c r="M31">
        <v>0</v>
      </c>
      <c r="N31">
        <v>-1</v>
      </c>
      <c r="O31">
        <v>-1</v>
      </c>
      <c r="P31">
        <v>-1</v>
      </c>
      <c r="Q31">
        <v>0</v>
      </c>
      <c r="R31">
        <v>0</v>
      </c>
      <c r="S31">
        <v>1</v>
      </c>
      <c r="T31">
        <v>1</v>
      </c>
      <c r="U31">
        <v>0</v>
      </c>
      <c r="V31" t="s">
        <v>20</v>
      </c>
      <c r="W31" t="s">
        <v>25</v>
      </c>
      <c r="X31" t="s">
        <v>26</v>
      </c>
      <c r="Y31">
        <v>0.60355000000000003</v>
      </c>
    </row>
    <row r="32" spans="1:25" x14ac:dyDescent="0.35">
      <c r="A32" s="2">
        <v>44434.429096527783</v>
      </c>
      <c r="B32" s="3">
        <v>17.600000000000001</v>
      </c>
      <c r="C32" s="3">
        <f>(21.89+23.57)/2</f>
        <v>22.73</v>
      </c>
      <c r="D32" s="3">
        <f>(21.75+23.69)/2</f>
        <v>22.72</v>
      </c>
      <c r="E32" s="3">
        <f>(2.03+0.88)/2</f>
        <v>1.4549999999999998</v>
      </c>
      <c r="F32" s="3">
        <f>(62.07+54.41)/2</f>
        <v>58.239999999999995</v>
      </c>
      <c r="G32" s="3">
        <v>0.03</v>
      </c>
      <c r="H32" s="3">
        <f>(21.12+23.87)/2</f>
        <v>22.495000000000001</v>
      </c>
      <c r="I32">
        <v>0</v>
      </c>
      <c r="J32">
        <v>52</v>
      </c>
      <c r="K32">
        <v>160</v>
      </c>
      <c r="L32">
        <v>60</v>
      </c>
      <c r="M32">
        <v>-1</v>
      </c>
      <c r="N32">
        <v>0</v>
      </c>
      <c r="O32">
        <v>0</v>
      </c>
      <c r="P32">
        <v>0</v>
      </c>
      <c r="Q32">
        <v>0</v>
      </c>
      <c r="R32">
        <v>3</v>
      </c>
      <c r="S32">
        <v>3</v>
      </c>
      <c r="T32">
        <v>3</v>
      </c>
      <c r="U32">
        <v>3</v>
      </c>
      <c r="V32" t="s">
        <v>19</v>
      </c>
      <c r="W32" t="s">
        <v>25</v>
      </c>
      <c r="X32" t="s">
        <v>26</v>
      </c>
      <c r="Y32">
        <v>0.46994999999999998</v>
      </c>
    </row>
    <row r="33" spans="1:25" x14ac:dyDescent="0.35">
      <c r="A33" s="2">
        <v>44434.430960405087</v>
      </c>
      <c r="B33" s="3">
        <v>17.5</v>
      </c>
      <c r="C33" s="3">
        <v>20.89</v>
      </c>
      <c r="D33" s="3">
        <v>19.62</v>
      </c>
      <c r="E33" s="3">
        <v>2.73</v>
      </c>
      <c r="F33" s="3">
        <v>60.44</v>
      </c>
      <c r="G33" s="3">
        <v>0.06</v>
      </c>
      <c r="H33" s="3">
        <v>21</v>
      </c>
      <c r="I33">
        <v>0</v>
      </c>
      <c r="J33">
        <v>23</v>
      </c>
      <c r="K33">
        <v>168</v>
      </c>
      <c r="L33">
        <v>54</v>
      </c>
      <c r="M33">
        <v>2</v>
      </c>
      <c r="N33">
        <v>1</v>
      </c>
      <c r="O33">
        <v>2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 t="s">
        <v>18</v>
      </c>
      <c r="W33" t="s">
        <v>24</v>
      </c>
      <c r="X33" t="s">
        <v>26</v>
      </c>
      <c r="Y33">
        <v>0.87909999999999999</v>
      </c>
    </row>
    <row r="34" spans="1:25" x14ac:dyDescent="0.35">
      <c r="A34" s="2">
        <v>44434.431049143517</v>
      </c>
      <c r="B34" s="3">
        <v>17.5</v>
      </c>
      <c r="C34" s="3">
        <v>20.54</v>
      </c>
      <c r="D34" s="3">
        <v>19.75</v>
      </c>
      <c r="E34" s="3">
        <v>2.27</v>
      </c>
      <c r="F34" s="3">
        <v>65.099999999999994</v>
      </c>
      <c r="G34" s="3">
        <v>0.23</v>
      </c>
      <c r="H34" s="3">
        <v>19.940000000000001</v>
      </c>
      <c r="I34">
        <v>1</v>
      </c>
      <c r="J34">
        <v>30</v>
      </c>
      <c r="K34">
        <v>172</v>
      </c>
      <c r="L34">
        <v>63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t="s">
        <v>23</v>
      </c>
      <c r="W34" t="s">
        <v>25</v>
      </c>
      <c r="X34" t="s">
        <v>29</v>
      </c>
      <c r="Y34">
        <v>0.55345</v>
      </c>
    </row>
    <row r="35" spans="1:25" x14ac:dyDescent="0.35">
      <c r="A35" s="2">
        <v>44434.43241040509</v>
      </c>
      <c r="B35" s="3">
        <v>17.7</v>
      </c>
      <c r="C35" s="3">
        <v>20.67</v>
      </c>
      <c r="D35" s="3">
        <v>19.690000000000001</v>
      </c>
      <c r="E35" s="3">
        <v>2.08</v>
      </c>
      <c r="F35" s="3">
        <v>65.86</v>
      </c>
      <c r="G35" s="3">
        <v>0.23</v>
      </c>
      <c r="H35" s="3">
        <v>20.059999999999999</v>
      </c>
      <c r="I35">
        <v>0</v>
      </c>
      <c r="J35">
        <v>30</v>
      </c>
      <c r="K35">
        <v>155</v>
      </c>
      <c r="L35">
        <v>60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23</v>
      </c>
      <c r="W35" t="s">
        <v>24</v>
      </c>
      <c r="X35" t="s">
        <v>28</v>
      </c>
      <c r="Y35">
        <v>0.46994999999999998</v>
      </c>
    </row>
    <row r="36" spans="1:25" x14ac:dyDescent="0.35">
      <c r="A36" s="2">
        <v>44434.433454953702</v>
      </c>
      <c r="B36" s="3">
        <v>17.8</v>
      </c>
      <c r="C36" s="3">
        <v>21.01</v>
      </c>
      <c r="D36" s="3">
        <v>19.62</v>
      </c>
      <c r="E36" s="3">
        <v>2.5499999999999998</v>
      </c>
      <c r="F36" s="3">
        <v>61.23</v>
      </c>
      <c r="G36" s="3">
        <v>7.0000000000000007E-2</v>
      </c>
      <c r="H36" s="3">
        <v>21.06</v>
      </c>
      <c r="I36">
        <v>1</v>
      </c>
      <c r="J36">
        <v>35</v>
      </c>
      <c r="K36">
        <v>189</v>
      </c>
      <c r="L36">
        <v>85</v>
      </c>
      <c r="M36">
        <v>1</v>
      </c>
      <c r="N36">
        <v>1</v>
      </c>
      <c r="O36">
        <v>1</v>
      </c>
      <c r="P36">
        <v>2</v>
      </c>
      <c r="Q36">
        <v>1</v>
      </c>
      <c r="R36">
        <v>0</v>
      </c>
      <c r="S36">
        <v>0</v>
      </c>
      <c r="T36">
        <v>0</v>
      </c>
      <c r="U36">
        <v>1</v>
      </c>
      <c r="V36" t="s">
        <v>18</v>
      </c>
      <c r="W36" t="s">
        <v>24</v>
      </c>
      <c r="X36" t="s">
        <v>31</v>
      </c>
      <c r="Y36">
        <v>0.76219999999999999</v>
      </c>
    </row>
    <row r="37" spans="1:25" x14ac:dyDescent="0.35">
      <c r="A37" s="2">
        <v>44434.437102870368</v>
      </c>
      <c r="B37" s="3">
        <v>17.809999999999999</v>
      </c>
      <c r="C37" s="3">
        <v>21.68</v>
      </c>
      <c r="D37" s="3">
        <v>20.12</v>
      </c>
      <c r="E37" s="3">
        <v>2.64</v>
      </c>
      <c r="F37" s="3">
        <v>60.09</v>
      </c>
      <c r="G37" s="3">
        <v>0.1</v>
      </c>
      <c r="H37" s="3">
        <v>21.62</v>
      </c>
      <c r="I37">
        <v>0</v>
      </c>
      <c r="J37">
        <v>43</v>
      </c>
      <c r="K37">
        <v>170</v>
      </c>
      <c r="L37">
        <v>56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18</v>
      </c>
      <c r="W37" t="s">
        <v>24</v>
      </c>
      <c r="X37" t="s">
        <v>26</v>
      </c>
      <c r="Y37">
        <v>0.68705000000000005</v>
      </c>
    </row>
    <row r="38" spans="1:25" x14ac:dyDescent="0.35">
      <c r="A38" s="2">
        <v>44434.438224884259</v>
      </c>
      <c r="B38" s="3">
        <v>17.91</v>
      </c>
      <c r="C38" s="3">
        <f>(23.08+24.56)/2</f>
        <v>23.82</v>
      </c>
      <c r="D38" s="3">
        <f>(22.62+24.94)/2</f>
        <v>23.78</v>
      </c>
      <c r="E38" s="3">
        <f>(0.94+2.69)/2</f>
        <v>1.8149999999999999</v>
      </c>
      <c r="F38" s="3">
        <f>(52.96+58.87)/2</f>
        <v>55.914999999999999</v>
      </c>
      <c r="G38" s="3">
        <v>0.04</v>
      </c>
      <c r="H38" s="3">
        <f>(22.06+24.75)/2</f>
        <v>23.405000000000001</v>
      </c>
      <c r="I38">
        <v>1</v>
      </c>
      <c r="J38">
        <v>45</v>
      </c>
      <c r="K38">
        <v>176</v>
      </c>
      <c r="L38">
        <v>62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19</v>
      </c>
      <c r="W38" t="s">
        <v>25</v>
      </c>
      <c r="X38" t="s">
        <v>26</v>
      </c>
      <c r="Y38">
        <v>0.996</v>
      </c>
    </row>
    <row r="39" spans="1:25" x14ac:dyDescent="0.35">
      <c r="A39" s="2">
        <v>44434.43823605324</v>
      </c>
      <c r="B39" s="3">
        <v>17.91</v>
      </c>
      <c r="C39" s="3">
        <f>(23.08+24.56)/2</f>
        <v>23.82</v>
      </c>
      <c r="D39" s="3">
        <f>(22.62+24.94)/2</f>
        <v>23.78</v>
      </c>
      <c r="E39" s="3">
        <f>(0.94+2.69)/2</f>
        <v>1.8149999999999999</v>
      </c>
      <c r="F39" s="3">
        <f>(52.96+58.87)/2</f>
        <v>55.914999999999999</v>
      </c>
      <c r="G39" s="3">
        <v>0.04</v>
      </c>
      <c r="H39" s="3">
        <f>(22.06+24.75)/2</f>
        <v>23.405000000000001</v>
      </c>
      <c r="I39">
        <v>1</v>
      </c>
      <c r="J39">
        <v>12</v>
      </c>
      <c r="K39">
        <v>153</v>
      </c>
      <c r="L39">
        <v>35</v>
      </c>
      <c r="M39">
        <v>2</v>
      </c>
      <c r="N39">
        <v>1</v>
      </c>
      <c r="O39">
        <v>1</v>
      </c>
      <c r="P39">
        <v>2</v>
      </c>
      <c r="Q39">
        <v>0</v>
      </c>
      <c r="R39">
        <v>1</v>
      </c>
      <c r="S39">
        <v>1</v>
      </c>
      <c r="T39">
        <v>1</v>
      </c>
      <c r="U39">
        <v>0</v>
      </c>
      <c r="V39" t="s">
        <v>19</v>
      </c>
      <c r="W39" t="s">
        <v>25</v>
      </c>
      <c r="X39" t="s">
        <v>26</v>
      </c>
      <c r="Y39">
        <v>1.0544500000000001</v>
      </c>
    </row>
    <row r="40" spans="1:25" x14ac:dyDescent="0.35">
      <c r="A40" s="2">
        <v>44434.441871597221</v>
      </c>
      <c r="B40" s="3">
        <v>18.100000000000001</v>
      </c>
      <c r="C40" s="3">
        <f>(22.06+22.36)/2</f>
        <v>22.21</v>
      </c>
      <c r="D40" s="3">
        <f>(22.19+23.12)/2</f>
        <v>22.655000000000001</v>
      </c>
      <c r="E40" s="3">
        <f>(1.85+0.19)/2</f>
        <v>1.02</v>
      </c>
      <c r="F40" s="3">
        <f>(56.34+57.24)/2</f>
        <v>56.790000000000006</v>
      </c>
      <c r="G40" s="3">
        <f>(0.15+0.34)/2</f>
        <v>0.245</v>
      </c>
      <c r="H40" s="3">
        <f>(22.25+20.75)/2</f>
        <v>21.5</v>
      </c>
      <c r="I40">
        <v>1</v>
      </c>
      <c r="J40">
        <v>19</v>
      </c>
      <c r="K40">
        <v>185</v>
      </c>
      <c r="L40">
        <v>80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20</v>
      </c>
      <c r="W40" t="s">
        <v>24</v>
      </c>
      <c r="X40" t="s">
        <v>29</v>
      </c>
      <c r="Y40">
        <v>0.56179999999999997</v>
      </c>
    </row>
    <row r="41" spans="1:25" x14ac:dyDescent="0.35">
      <c r="A41" s="2">
        <v>44434.449410567133</v>
      </c>
      <c r="B41" s="3">
        <v>17.600000000000001</v>
      </c>
      <c r="C41" s="3">
        <f>(22.59+22.4)/2</f>
        <v>22.494999999999997</v>
      </c>
      <c r="D41" s="3">
        <f>(23.06+22.25)/2</f>
        <v>22.655000000000001</v>
      </c>
      <c r="E41" s="3">
        <f>(0.35+1.34)/2</f>
        <v>0.84499999999999997</v>
      </c>
      <c r="F41" s="3">
        <f>(59.76+57.9)/2</f>
        <v>58.83</v>
      </c>
      <c r="G41" s="3">
        <f>(0.29+0.09)/2</f>
        <v>0.19</v>
      </c>
      <c r="H41" s="3">
        <f>(22.5+21.8)/2</f>
        <v>22.15</v>
      </c>
      <c r="I41">
        <v>0</v>
      </c>
      <c r="J41">
        <v>11</v>
      </c>
      <c r="K41">
        <v>165</v>
      </c>
      <c r="L41">
        <v>55</v>
      </c>
      <c r="M41">
        <v>2</v>
      </c>
      <c r="N41">
        <v>0</v>
      </c>
      <c r="O41">
        <v>1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 t="s">
        <v>20</v>
      </c>
      <c r="W41" t="s">
        <v>24</v>
      </c>
      <c r="Y41">
        <v>0.75385000000000002</v>
      </c>
    </row>
    <row r="42" spans="1:25" x14ac:dyDescent="0.35">
      <c r="A42" s="2">
        <v>44434.449866331022</v>
      </c>
      <c r="B42" s="3">
        <v>17.600000000000001</v>
      </c>
      <c r="C42" s="3">
        <v>22.51</v>
      </c>
      <c r="D42" s="3">
        <v>21.25</v>
      </c>
      <c r="E42" s="3">
        <v>1.62</v>
      </c>
      <c r="F42" s="3">
        <v>65.13</v>
      </c>
      <c r="G42" s="3">
        <v>0.09</v>
      </c>
      <c r="H42" s="3">
        <v>22.25</v>
      </c>
      <c r="I42">
        <v>0</v>
      </c>
      <c r="J42">
        <v>23</v>
      </c>
      <c r="K42">
        <v>163</v>
      </c>
      <c r="L42">
        <v>55</v>
      </c>
      <c r="M42">
        <v>1</v>
      </c>
      <c r="N42">
        <v>2</v>
      </c>
      <c r="O42">
        <v>2</v>
      </c>
      <c r="P42">
        <v>2</v>
      </c>
      <c r="Q42">
        <v>2</v>
      </c>
      <c r="R42">
        <v>0</v>
      </c>
      <c r="S42">
        <v>0</v>
      </c>
      <c r="T42">
        <v>0</v>
      </c>
      <c r="U42">
        <v>0</v>
      </c>
      <c r="V42" t="s">
        <v>22</v>
      </c>
      <c r="W42" t="s">
        <v>25</v>
      </c>
      <c r="X42" t="s">
        <v>27</v>
      </c>
      <c r="Y42">
        <v>0.48664999999999992</v>
      </c>
    </row>
    <row r="43" spans="1:25" x14ac:dyDescent="0.35">
      <c r="A43" s="2">
        <v>44434.467419733803</v>
      </c>
      <c r="B43" s="3">
        <v>16.2</v>
      </c>
      <c r="C43" s="3">
        <f>(21.56+23.81)/2</f>
        <v>22.684999999999999</v>
      </c>
      <c r="D43" s="3">
        <f>(21.5+24.56)/2</f>
        <v>23.03</v>
      </c>
      <c r="E43" s="3">
        <f>(1.52+1.91)/2</f>
        <v>1.7149999999999999</v>
      </c>
      <c r="F43" s="3">
        <f>(52.08+61.7)/2</f>
        <v>56.89</v>
      </c>
      <c r="G43" s="3">
        <v>0.04</v>
      </c>
      <c r="H43" s="3">
        <f>(22.19+25.06)/2</f>
        <v>23.625</v>
      </c>
      <c r="I43">
        <v>0</v>
      </c>
      <c r="J43">
        <v>24</v>
      </c>
      <c r="K43">
        <v>172</v>
      </c>
      <c r="L43">
        <v>58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19</v>
      </c>
      <c r="W43" t="s">
        <v>24</v>
      </c>
      <c r="X43" t="s">
        <v>27</v>
      </c>
      <c r="Y43">
        <v>1.3049500000000001</v>
      </c>
    </row>
    <row r="44" spans="1:25" x14ac:dyDescent="0.35">
      <c r="A44" s="2">
        <v>44434.467636168978</v>
      </c>
      <c r="B44" s="3">
        <v>16.2</v>
      </c>
      <c r="C44" s="3">
        <f>(21.61+21.11)/2</f>
        <v>21.36</v>
      </c>
      <c r="D44" s="3">
        <f>(21.12+21.06)/2</f>
        <v>21.09</v>
      </c>
      <c r="E44" s="3">
        <f>(0.94+2.08)/2</f>
        <v>1.51</v>
      </c>
      <c r="F44" s="3">
        <f>(59.2+60.15)/2</f>
        <v>59.674999999999997</v>
      </c>
      <c r="G44" s="3">
        <f>(0.1+0.19)/2</f>
        <v>0.14500000000000002</v>
      </c>
      <c r="H44" s="3">
        <f>(20.04+22.19)/2</f>
        <v>21.115000000000002</v>
      </c>
      <c r="I44">
        <v>1</v>
      </c>
      <c r="J44">
        <v>22</v>
      </c>
      <c r="K44">
        <v>170</v>
      </c>
      <c r="L44">
        <v>55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20</v>
      </c>
      <c r="W44" t="s">
        <v>24</v>
      </c>
      <c r="X44" t="s">
        <v>27</v>
      </c>
      <c r="Y44">
        <v>0.75385000000000002</v>
      </c>
    </row>
    <row r="45" spans="1:25" x14ac:dyDescent="0.35">
      <c r="A45" s="2">
        <v>44434.470040196757</v>
      </c>
      <c r="B45" s="3">
        <v>15.5</v>
      </c>
      <c r="C45" s="3">
        <v>20.78</v>
      </c>
      <c r="D45" s="3">
        <v>19.62</v>
      </c>
      <c r="E45" s="3">
        <v>1.74</v>
      </c>
      <c r="F45" s="3">
        <v>70.66</v>
      </c>
      <c r="G45" s="3">
        <v>0.09</v>
      </c>
      <c r="H45" s="3">
        <v>20.56</v>
      </c>
      <c r="I45">
        <v>0</v>
      </c>
      <c r="J45">
        <v>48</v>
      </c>
      <c r="K45">
        <v>171</v>
      </c>
      <c r="L45">
        <v>65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 t="s">
        <v>22</v>
      </c>
      <c r="W45" t="s">
        <v>25</v>
      </c>
      <c r="X45" t="s">
        <v>29</v>
      </c>
      <c r="Y45">
        <v>0.75385000000000002</v>
      </c>
    </row>
    <row r="46" spans="1:25" x14ac:dyDescent="0.35">
      <c r="A46" s="2">
        <v>44434.470762372694</v>
      </c>
      <c r="B46" s="3">
        <v>15.5</v>
      </c>
      <c r="C46" s="3">
        <v>20.81</v>
      </c>
      <c r="D46" s="3">
        <v>19.62</v>
      </c>
      <c r="E46" s="3">
        <v>1.85</v>
      </c>
      <c r="F46" s="3">
        <v>71.13</v>
      </c>
      <c r="G46" s="3">
        <v>0.09</v>
      </c>
      <c r="H46" s="3">
        <v>20.62</v>
      </c>
      <c r="I46">
        <v>1</v>
      </c>
      <c r="J46">
        <v>47</v>
      </c>
      <c r="K46">
        <v>189</v>
      </c>
      <c r="L46">
        <v>84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t="s">
        <v>22</v>
      </c>
      <c r="W46" t="s">
        <v>25</v>
      </c>
      <c r="X46" t="s">
        <v>26</v>
      </c>
      <c r="Y46">
        <v>0.73714999999999997</v>
      </c>
    </row>
    <row r="47" spans="1:25" x14ac:dyDescent="0.35">
      <c r="A47" s="2">
        <v>44434.470763680547</v>
      </c>
      <c r="B47" s="3">
        <v>15.5</v>
      </c>
      <c r="C47" s="3">
        <v>20.27</v>
      </c>
      <c r="D47" s="3">
        <v>18.25</v>
      </c>
      <c r="E47" s="3">
        <v>2.54</v>
      </c>
      <c r="F47" s="3">
        <v>65.78</v>
      </c>
      <c r="G47" s="3">
        <v>0.27</v>
      </c>
      <c r="H47" s="3">
        <v>21.25</v>
      </c>
      <c r="I47">
        <v>0</v>
      </c>
      <c r="J47">
        <v>34</v>
      </c>
      <c r="K47">
        <v>169</v>
      </c>
      <c r="L47">
        <v>58</v>
      </c>
      <c r="M47">
        <v>1</v>
      </c>
      <c r="N47">
        <v>0</v>
      </c>
      <c r="O47">
        <v>1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21</v>
      </c>
      <c r="W47" t="s">
        <v>24</v>
      </c>
      <c r="X47" t="s">
        <v>26</v>
      </c>
      <c r="Y47">
        <v>0.97094999999999998</v>
      </c>
    </row>
    <row r="48" spans="1:25" x14ac:dyDescent="0.35">
      <c r="A48" s="2">
        <v>44434.471579004632</v>
      </c>
      <c r="B48" s="3">
        <v>15.3</v>
      </c>
      <c r="C48" s="3">
        <v>20.81</v>
      </c>
      <c r="D48" s="3">
        <v>19.440000000000001</v>
      </c>
      <c r="E48" s="3">
        <v>2.5</v>
      </c>
      <c r="F48" s="3">
        <v>66.900000000000006</v>
      </c>
      <c r="G48" s="3">
        <v>7.0000000000000007E-2</v>
      </c>
      <c r="H48" s="3">
        <v>21</v>
      </c>
      <c r="I48">
        <v>1</v>
      </c>
      <c r="J48">
        <v>32</v>
      </c>
      <c r="K48">
        <v>186</v>
      </c>
      <c r="L48">
        <v>87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 t="s">
        <v>18</v>
      </c>
      <c r="W48" t="s">
        <v>25</v>
      </c>
      <c r="X48" t="s">
        <v>29</v>
      </c>
      <c r="Y48">
        <v>0.88744999999999996</v>
      </c>
    </row>
    <row r="49" spans="1:25" x14ac:dyDescent="0.35">
      <c r="A49" s="2">
        <v>44434.47169327546</v>
      </c>
      <c r="B49" s="3">
        <v>15.3</v>
      </c>
      <c r="C49" s="3">
        <v>20.96</v>
      </c>
      <c r="D49" s="3">
        <v>19.809999999999999</v>
      </c>
      <c r="E49" s="3">
        <v>1.79</v>
      </c>
      <c r="F49" s="3">
        <v>73.989999999999995</v>
      </c>
      <c r="G49" s="3">
        <v>0.09</v>
      </c>
      <c r="H49" s="3">
        <v>20.75</v>
      </c>
      <c r="I49">
        <v>0</v>
      </c>
      <c r="J49">
        <v>27</v>
      </c>
      <c r="K49">
        <v>174</v>
      </c>
      <c r="L49">
        <v>57</v>
      </c>
      <c r="M49">
        <v>1</v>
      </c>
      <c r="N49">
        <v>0</v>
      </c>
      <c r="O49">
        <v>0</v>
      </c>
      <c r="P49">
        <v>-2</v>
      </c>
      <c r="Q49">
        <v>-2</v>
      </c>
      <c r="R49">
        <v>0</v>
      </c>
      <c r="S49">
        <v>0</v>
      </c>
      <c r="T49">
        <v>0</v>
      </c>
      <c r="U49">
        <v>0</v>
      </c>
      <c r="V49" t="s">
        <v>22</v>
      </c>
      <c r="W49" t="s">
        <v>24</v>
      </c>
      <c r="X49" t="s">
        <v>27</v>
      </c>
      <c r="Y49">
        <v>0.67035</v>
      </c>
    </row>
    <row r="50" spans="1:25" x14ac:dyDescent="0.35">
      <c r="A50" s="2">
        <v>44434.472222222219</v>
      </c>
      <c r="B50" s="3">
        <v>15.2</v>
      </c>
      <c r="C50" s="3">
        <v>21.06</v>
      </c>
      <c r="D50" s="3">
        <v>19.87</v>
      </c>
      <c r="E50" s="3">
        <v>1.8</v>
      </c>
      <c r="F50" s="3">
        <v>74.349999999999994</v>
      </c>
      <c r="G50" s="3">
        <v>0.11</v>
      </c>
      <c r="H50" s="3">
        <v>20.81</v>
      </c>
      <c r="I50">
        <v>0</v>
      </c>
      <c r="J50">
        <v>12</v>
      </c>
      <c r="K50">
        <v>164</v>
      </c>
      <c r="L50">
        <v>54</v>
      </c>
      <c r="M50">
        <v>1</v>
      </c>
      <c r="N50">
        <v>0</v>
      </c>
      <c r="O50">
        <v>0</v>
      </c>
      <c r="P50">
        <v>-1</v>
      </c>
      <c r="Q50">
        <v>1</v>
      </c>
      <c r="R50">
        <v>0</v>
      </c>
      <c r="S50">
        <v>0</v>
      </c>
      <c r="T50">
        <v>1</v>
      </c>
      <c r="U50">
        <v>0</v>
      </c>
      <c r="V50" t="s">
        <v>22</v>
      </c>
      <c r="W50" t="s">
        <v>25</v>
      </c>
      <c r="X50" t="s">
        <v>29</v>
      </c>
      <c r="Y50">
        <v>0.75385000000000002</v>
      </c>
    </row>
    <row r="51" spans="1:25" x14ac:dyDescent="0.35">
      <c r="A51" s="2">
        <v>44434.472222222219</v>
      </c>
      <c r="B51" s="3">
        <v>15.2</v>
      </c>
      <c r="C51" s="3">
        <v>21.06</v>
      </c>
      <c r="D51" s="3">
        <v>19.87</v>
      </c>
      <c r="E51" s="3">
        <v>1.8</v>
      </c>
      <c r="F51" s="3">
        <v>74.349999999999994</v>
      </c>
      <c r="G51" s="3">
        <v>0.11</v>
      </c>
      <c r="H51" s="3">
        <v>20.81</v>
      </c>
      <c r="I51">
        <v>1</v>
      </c>
      <c r="J51">
        <v>15</v>
      </c>
      <c r="K51">
        <v>173</v>
      </c>
      <c r="L51">
        <v>55</v>
      </c>
      <c r="M51">
        <v>1</v>
      </c>
      <c r="N51">
        <v>1</v>
      </c>
      <c r="O51">
        <v>0</v>
      </c>
      <c r="P51">
        <v>-1</v>
      </c>
      <c r="Q51">
        <v>1</v>
      </c>
      <c r="R51">
        <v>0</v>
      </c>
      <c r="S51">
        <v>0</v>
      </c>
      <c r="T51">
        <v>0</v>
      </c>
      <c r="U51">
        <v>0</v>
      </c>
      <c r="V51" t="s">
        <v>22</v>
      </c>
      <c r="W51" t="s">
        <v>24</v>
      </c>
      <c r="X51" t="s">
        <v>29</v>
      </c>
      <c r="Y51">
        <v>0.76219999999999999</v>
      </c>
    </row>
    <row r="52" spans="1:25" x14ac:dyDescent="0.35">
      <c r="A52" s="2">
        <v>44434.472222222219</v>
      </c>
      <c r="B52" s="3">
        <v>15.2</v>
      </c>
      <c r="C52" s="3">
        <v>21.06</v>
      </c>
      <c r="D52" s="3">
        <v>19.87</v>
      </c>
      <c r="E52" s="3">
        <v>1.8</v>
      </c>
      <c r="F52" s="3">
        <v>74.349999999999994</v>
      </c>
      <c r="G52" s="3">
        <v>0.11</v>
      </c>
      <c r="H52" s="3">
        <v>20.81</v>
      </c>
      <c r="I52">
        <v>0</v>
      </c>
      <c r="J52">
        <v>51</v>
      </c>
      <c r="K52">
        <v>162</v>
      </c>
      <c r="L52">
        <v>65</v>
      </c>
      <c r="M52">
        <v>2</v>
      </c>
      <c r="N52">
        <v>0</v>
      </c>
      <c r="O52">
        <v>1</v>
      </c>
      <c r="P52">
        <v>-1</v>
      </c>
      <c r="Q52">
        <v>-1</v>
      </c>
      <c r="R52">
        <v>0</v>
      </c>
      <c r="S52">
        <v>0</v>
      </c>
      <c r="T52">
        <v>0</v>
      </c>
      <c r="U52">
        <v>1</v>
      </c>
      <c r="V52" t="s">
        <v>22</v>
      </c>
      <c r="W52" t="s">
        <v>25</v>
      </c>
      <c r="X52" t="s">
        <v>32</v>
      </c>
      <c r="Y52">
        <v>0.65365000000000006</v>
      </c>
    </row>
    <row r="53" spans="1:25" x14ac:dyDescent="0.35">
      <c r="A53" s="2">
        <v>44434.472222222219</v>
      </c>
      <c r="B53" s="3">
        <v>15.2</v>
      </c>
      <c r="C53" s="3">
        <f>(22.08+21.52)/2</f>
        <v>21.799999999999997</v>
      </c>
      <c r="D53" s="3">
        <v>21.75</v>
      </c>
      <c r="E53" s="3">
        <f>(0.86+1.62)/2</f>
        <v>1.24</v>
      </c>
      <c r="F53" s="3">
        <f>(66.46+66.64)/2</f>
        <v>66.55</v>
      </c>
      <c r="G53" s="3">
        <f>(0.27+0.1)/2</f>
        <v>0.185</v>
      </c>
      <c r="H53" s="3">
        <f>(22.13+20.44)/2</f>
        <v>21.285</v>
      </c>
      <c r="I53">
        <v>0</v>
      </c>
      <c r="J53">
        <v>40</v>
      </c>
      <c r="K53">
        <v>163</v>
      </c>
      <c r="L53">
        <v>70</v>
      </c>
      <c r="M53">
        <v>1</v>
      </c>
      <c r="N53">
        <v>-1</v>
      </c>
      <c r="O53">
        <v>-1</v>
      </c>
      <c r="P53">
        <v>-1</v>
      </c>
      <c r="Q53">
        <v>-1</v>
      </c>
      <c r="R53">
        <v>0</v>
      </c>
      <c r="S53">
        <v>0</v>
      </c>
      <c r="T53">
        <v>0</v>
      </c>
      <c r="U53">
        <v>0</v>
      </c>
      <c r="V53" t="s">
        <v>20</v>
      </c>
      <c r="W53" t="s">
        <v>25</v>
      </c>
      <c r="X53" t="s">
        <v>32</v>
      </c>
      <c r="Y53">
        <v>0.75385000000000002</v>
      </c>
    </row>
    <row r="54" spans="1:25" x14ac:dyDescent="0.35">
      <c r="A54" s="2">
        <v>44434.478740104169</v>
      </c>
      <c r="B54" s="3">
        <v>15</v>
      </c>
      <c r="C54" s="3">
        <v>21.08</v>
      </c>
      <c r="D54" s="3">
        <v>19.940000000000001</v>
      </c>
      <c r="E54" s="3">
        <v>1.74</v>
      </c>
      <c r="F54" s="3">
        <v>73.650000000000006</v>
      </c>
      <c r="G54" s="3">
        <v>0.2</v>
      </c>
      <c r="H54" s="3">
        <v>21.25</v>
      </c>
      <c r="I54">
        <v>0</v>
      </c>
      <c r="J54">
        <v>60</v>
      </c>
      <c r="K54">
        <v>164</v>
      </c>
      <c r="L54">
        <v>92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22</v>
      </c>
      <c r="W54" t="s">
        <v>25</v>
      </c>
      <c r="X54" t="s">
        <v>32</v>
      </c>
      <c r="Y54">
        <v>1.1129</v>
      </c>
    </row>
    <row r="55" spans="1:25" x14ac:dyDescent="0.35">
      <c r="A55" s="2">
        <v>44434.481614236109</v>
      </c>
      <c r="B55" s="3">
        <v>15</v>
      </c>
      <c r="C55" s="3">
        <v>21.05</v>
      </c>
      <c r="D55" s="3">
        <v>19.940000000000001</v>
      </c>
      <c r="E55" s="3">
        <v>1.79</v>
      </c>
      <c r="F55" s="3">
        <v>72.28</v>
      </c>
      <c r="G55" s="3">
        <v>0.09</v>
      </c>
      <c r="H55" s="3">
        <v>20.94</v>
      </c>
      <c r="I55">
        <v>1</v>
      </c>
      <c r="J55">
        <v>46</v>
      </c>
      <c r="K55">
        <v>186</v>
      </c>
      <c r="L55">
        <v>95</v>
      </c>
      <c r="M55">
        <v>1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 t="s">
        <v>22</v>
      </c>
      <c r="W55" t="s">
        <v>25</v>
      </c>
      <c r="X55" t="s">
        <v>26</v>
      </c>
      <c r="Y55">
        <v>0.70374999999999999</v>
      </c>
    </row>
    <row r="56" spans="1:25" x14ac:dyDescent="0.35">
      <c r="A56" s="2">
        <v>44434.48888178241</v>
      </c>
      <c r="B56" s="3">
        <v>15.8</v>
      </c>
      <c r="C56" s="3">
        <f>(21.95+21.03)/2</f>
        <v>21.490000000000002</v>
      </c>
      <c r="D56" s="3">
        <f>(21.69+20)/2</f>
        <v>20.844999999999999</v>
      </c>
      <c r="E56" s="3">
        <f>(1.02+2.31)/2</f>
        <v>1.665</v>
      </c>
      <c r="F56" s="3">
        <f>(61.14+61.39)/2</f>
        <v>61.265000000000001</v>
      </c>
      <c r="G56" s="3">
        <v>0.18</v>
      </c>
      <c r="H56" s="3">
        <f>(19.25+22.06)/2</f>
        <v>20.655000000000001</v>
      </c>
      <c r="I56">
        <v>1</v>
      </c>
      <c r="J56">
        <v>36</v>
      </c>
      <c r="K56">
        <v>189</v>
      </c>
      <c r="L56">
        <v>97</v>
      </c>
      <c r="M56">
        <v>2</v>
      </c>
      <c r="N56">
        <v>1</v>
      </c>
      <c r="O56">
        <v>2</v>
      </c>
      <c r="P56">
        <v>2</v>
      </c>
      <c r="Q56">
        <v>-1</v>
      </c>
      <c r="R56">
        <v>1</v>
      </c>
      <c r="S56">
        <v>2</v>
      </c>
      <c r="T56">
        <v>0</v>
      </c>
      <c r="U56">
        <v>1</v>
      </c>
      <c r="V56" t="s">
        <v>20</v>
      </c>
      <c r="W56" t="s">
        <v>25</v>
      </c>
      <c r="X56" t="s">
        <v>26</v>
      </c>
      <c r="Y56">
        <v>0.73714999999999997</v>
      </c>
    </row>
    <row r="57" spans="1:25" x14ac:dyDescent="0.35">
      <c r="A57" s="2">
        <v>44434.519080520833</v>
      </c>
      <c r="B57" s="3">
        <v>16.7</v>
      </c>
      <c r="C57" s="3">
        <v>21.79</v>
      </c>
      <c r="D57" s="3">
        <v>20.12</v>
      </c>
      <c r="E57" s="3">
        <v>2.3199999999999998</v>
      </c>
      <c r="F57" s="3">
        <v>68.47</v>
      </c>
      <c r="G57" s="3">
        <v>0.27</v>
      </c>
      <c r="H57" s="3">
        <v>21.37</v>
      </c>
      <c r="I57">
        <v>1</v>
      </c>
      <c r="J57">
        <v>33</v>
      </c>
      <c r="K57">
        <v>180</v>
      </c>
      <c r="L57">
        <v>88</v>
      </c>
      <c r="M57">
        <v>1</v>
      </c>
      <c r="N57">
        <v>0</v>
      </c>
      <c r="O57">
        <v>-2</v>
      </c>
      <c r="P57">
        <v>-2</v>
      </c>
      <c r="Q57">
        <v>-2</v>
      </c>
      <c r="R57">
        <v>0</v>
      </c>
      <c r="S57">
        <v>1</v>
      </c>
      <c r="T57">
        <v>1</v>
      </c>
      <c r="U57">
        <v>1</v>
      </c>
      <c r="V57" t="s">
        <v>23</v>
      </c>
      <c r="W57" t="s">
        <v>24</v>
      </c>
      <c r="X57" t="s">
        <v>27</v>
      </c>
      <c r="Y57">
        <v>0.52839999999999998</v>
      </c>
    </row>
    <row r="58" spans="1:25" x14ac:dyDescent="0.35">
      <c r="A58" s="2">
        <v>44434.520833333343</v>
      </c>
      <c r="B58" s="3">
        <v>16.5</v>
      </c>
      <c r="C58" s="3">
        <v>22.83</v>
      </c>
      <c r="D58" s="3">
        <v>20.81</v>
      </c>
      <c r="E58" s="3">
        <v>3.32</v>
      </c>
      <c r="F58" s="3">
        <v>68.05</v>
      </c>
      <c r="G58" s="3">
        <v>0.11</v>
      </c>
      <c r="H58" s="3">
        <v>22.56</v>
      </c>
      <c r="I58">
        <v>1</v>
      </c>
      <c r="J58">
        <v>71</v>
      </c>
      <c r="K58">
        <v>180</v>
      </c>
      <c r="L58">
        <v>120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22</v>
      </c>
      <c r="W58" t="s">
        <v>25</v>
      </c>
      <c r="X58" t="s">
        <v>26</v>
      </c>
      <c r="Y58">
        <v>0.31130000000000002</v>
      </c>
    </row>
    <row r="59" spans="1:25" x14ac:dyDescent="0.35">
      <c r="A59" s="2">
        <v>44434.520833333343</v>
      </c>
      <c r="B59" s="3">
        <v>16.5</v>
      </c>
      <c r="C59" s="3">
        <f>(21.98+23.45)/2</f>
        <v>22.715</v>
      </c>
      <c r="D59" s="3">
        <f>(23.5+21.2)/2</f>
        <v>22.35</v>
      </c>
      <c r="E59" s="3">
        <f>(1.99+0.74)/2</f>
        <v>1.365</v>
      </c>
      <c r="F59" s="3">
        <f>(58.54+58.75)/2</f>
        <v>58.644999999999996</v>
      </c>
      <c r="G59" s="3">
        <f>(0.25+0.09)/2</f>
        <v>0.16999999999999998</v>
      </c>
      <c r="H59" s="3">
        <f>(20.94+23.38)/2</f>
        <v>22.16</v>
      </c>
      <c r="I59">
        <v>0</v>
      </c>
      <c r="J59">
        <v>66</v>
      </c>
      <c r="K59">
        <v>167</v>
      </c>
      <c r="L59">
        <v>61</v>
      </c>
      <c r="M59">
        <v>1</v>
      </c>
      <c r="N59">
        <v>-1</v>
      </c>
      <c r="O59">
        <v>0</v>
      </c>
      <c r="P59">
        <v>0</v>
      </c>
      <c r="Q59">
        <v>-1</v>
      </c>
      <c r="R59">
        <v>0</v>
      </c>
      <c r="S59">
        <v>0</v>
      </c>
      <c r="T59">
        <v>1</v>
      </c>
      <c r="U59">
        <v>1</v>
      </c>
      <c r="V59" t="s">
        <v>20</v>
      </c>
      <c r="W59" t="s">
        <v>24</v>
      </c>
      <c r="X59" t="s">
        <v>29</v>
      </c>
      <c r="Y59">
        <v>0.55345</v>
      </c>
    </row>
    <row r="60" spans="1:25" x14ac:dyDescent="0.35">
      <c r="A60" s="2">
        <v>44434.526233622688</v>
      </c>
      <c r="B60" s="3">
        <v>17.399999999999999</v>
      </c>
      <c r="C60" s="3">
        <v>21.37</v>
      </c>
      <c r="D60" s="3">
        <v>19.940000000000001</v>
      </c>
      <c r="E60" s="3">
        <v>2.4500000000000002</v>
      </c>
      <c r="F60" s="3">
        <v>62.08</v>
      </c>
      <c r="G60" s="3">
        <v>0.26</v>
      </c>
      <c r="H60" s="3">
        <v>20.88</v>
      </c>
      <c r="I60">
        <v>1</v>
      </c>
      <c r="J60">
        <v>15</v>
      </c>
      <c r="K60">
        <v>189</v>
      </c>
      <c r="L60">
        <v>98</v>
      </c>
      <c r="M60">
        <v>1</v>
      </c>
      <c r="N60">
        <v>2</v>
      </c>
      <c r="O60">
        <v>2</v>
      </c>
      <c r="P60">
        <v>2</v>
      </c>
      <c r="Q60">
        <v>1</v>
      </c>
      <c r="R60">
        <v>2</v>
      </c>
      <c r="S60">
        <v>1</v>
      </c>
      <c r="T60">
        <v>0</v>
      </c>
      <c r="U60">
        <v>1</v>
      </c>
      <c r="V60" t="s">
        <v>23</v>
      </c>
      <c r="W60" t="s">
        <v>25</v>
      </c>
      <c r="X60" t="s">
        <v>29</v>
      </c>
      <c r="Y60">
        <v>1.0544500000000001</v>
      </c>
    </row>
    <row r="61" spans="1:25" x14ac:dyDescent="0.35">
      <c r="A61" s="2">
        <v>44434.52670858796</v>
      </c>
      <c r="B61" s="3">
        <v>17.399999999999999</v>
      </c>
      <c r="C61" s="3">
        <v>21.77</v>
      </c>
      <c r="D61" s="3">
        <v>17.87</v>
      </c>
      <c r="E61" s="3">
        <v>5.27</v>
      </c>
      <c r="F61" s="3">
        <v>64.849999999999994</v>
      </c>
      <c r="G61" s="3">
        <v>0.28999999999999998</v>
      </c>
      <c r="H61" s="3">
        <v>22.06</v>
      </c>
      <c r="I61">
        <v>0</v>
      </c>
      <c r="J61">
        <v>35</v>
      </c>
      <c r="K61">
        <v>165</v>
      </c>
      <c r="L61">
        <v>80</v>
      </c>
      <c r="M61">
        <v>2</v>
      </c>
      <c r="N61">
        <v>-1</v>
      </c>
      <c r="O61">
        <v>-1</v>
      </c>
      <c r="P61">
        <v>0</v>
      </c>
      <c r="Q61">
        <v>0</v>
      </c>
      <c r="R61">
        <v>1</v>
      </c>
      <c r="S61">
        <v>1</v>
      </c>
      <c r="T61">
        <v>2</v>
      </c>
      <c r="U61">
        <v>2</v>
      </c>
      <c r="V61" t="s">
        <v>21</v>
      </c>
      <c r="W61" t="s">
        <v>25</v>
      </c>
      <c r="X61" t="s">
        <v>26</v>
      </c>
      <c r="Y61">
        <v>0.48664999999999992</v>
      </c>
    </row>
    <row r="62" spans="1:25" x14ac:dyDescent="0.35">
      <c r="A62" s="2">
        <v>44434.529166666667</v>
      </c>
      <c r="B62" s="3">
        <v>17.600000000000001</v>
      </c>
      <c r="C62" s="3">
        <f>(22.06+24.19)/2</f>
        <v>23.125</v>
      </c>
      <c r="D62" s="3">
        <f>(24.81+21.37)/2</f>
        <v>23.09</v>
      </c>
      <c r="E62" s="3">
        <f>(0.86+2.64)/2</f>
        <v>1.75</v>
      </c>
      <c r="F62" s="3">
        <f>(56.53+57.19)/2</f>
        <v>56.86</v>
      </c>
      <c r="G62" s="3">
        <f>(0.09+0.33)/2</f>
        <v>0.21000000000000002</v>
      </c>
      <c r="H62" s="3">
        <f>(23.69+19.87)/2</f>
        <v>21.78</v>
      </c>
      <c r="I62">
        <v>1</v>
      </c>
      <c r="J62">
        <v>63</v>
      </c>
      <c r="K62">
        <v>172</v>
      </c>
      <c r="L62">
        <v>62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20</v>
      </c>
      <c r="W62" t="s">
        <v>25</v>
      </c>
      <c r="X62" t="s">
        <v>29</v>
      </c>
      <c r="Y62">
        <v>0.92920000000000003</v>
      </c>
    </row>
    <row r="63" spans="1:25" x14ac:dyDescent="0.35">
      <c r="A63" s="2">
        <v>44434.537693726852</v>
      </c>
      <c r="B63" s="3">
        <v>17.5</v>
      </c>
      <c r="C63" s="3">
        <v>22.92</v>
      </c>
      <c r="D63" s="3">
        <v>18.37</v>
      </c>
      <c r="E63" s="3">
        <v>6.8</v>
      </c>
      <c r="F63" s="3">
        <v>62.65</v>
      </c>
      <c r="G63" s="3">
        <v>0.32</v>
      </c>
      <c r="H63" s="3">
        <v>22.81</v>
      </c>
      <c r="I63">
        <v>1</v>
      </c>
      <c r="J63">
        <v>12</v>
      </c>
      <c r="K63">
        <v>170</v>
      </c>
      <c r="L63">
        <v>80</v>
      </c>
      <c r="M63">
        <v>1</v>
      </c>
      <c r="N63">
        <v>0</v>
      </c>
      <c r="O63">
        <v>0</v>
      </c>
      <c r="P63">
        <v>1</v>
      </c>
      <c r="Q63">
        <v>2</v>
      </c>
      <c r="R63">
        <v>0</v>
      </c>
      <c r="S63">
        <v>0</v>
      </c>
      <c r="T63">
        <v>0</v>
      </c>
      <c r="U63">
        <v>1</v>
      </c>
      <c r="V63" t="s">
        <v>21</v>
      </c>
      <c r="W63" t="s">
        <v>25</v>
      </c>
      <c r="X63" t="s">
        <v>29</v>
      </c>
      <c r="Y63">
        <v>0.46160000000000001</v>
      </c>
    </row>
    <row r="64" spans="1:25" x14ac:dyDescent="0.35">
      <c r="A64" s="2">
        <v>44434.53811238426</v>
      </c>
      <c r="B64" s="3">
        <v>17.5</v>
      </c>
      <c r="C64" s="3">
        <v>23.16</v>
      </c>
      <c r="D64" s="3">
        <v>18.440000000000001</v>
      </c>
      <c r="E64" s="3">
        <v>6.91</v>
      </c>
      <c r="F64" s="3">
        <v>62.65</v>
      </c>
      <c r="G64" s="3">
        <v>0.4</v>
      </c>
      <c r="H64" s="3">
        <v>22.81</v>
      </c>
      <c r="I64">
        <v>0</v>
      </c>
      <c r="J64">
        <v>15</v>
      </c>
      <c r="K64">
        <v>164</v>
      </c>
      <c r="L64">
        <v>57</v>
      </c>
      <c r="M64">
        <v>0</v>
      </c>
      <c r="N64">
        <v>1</v>
      </c>
      <c r="O64">
        <v>0</v>
      </c>
      <c r="P64">
        <v>1</v>
      </c>
      <c r="Q64">
        <v>1</v>
      </c>
      <c r="R64">
        <v>2</v>
      </c>
      <c r="S64">
        <v>2</v>
      </c>
      <c r="T64">
        <v>3</v>
      </c>
      <c r="U64">
        <v>2</v>
      </c>
      <c r="V64" t="s">
        <v>21</v>
      </c>
      <c r="W64" t="s">
        <v>25</v>
      </c>
      <c r="X64" t="s">
        <v>29</v>
      </c>
      <c r="Y64">
        <v>0.90415000000000001</v>
      </c>
    </row>
    <row r="65" spans="1:25" x14ac:dyDescent="0.35">
      <c r="A65" s="2">
        <v>44434.538194444453</v>
      </c>
      <c r="B65" s="3">
        <v>17.5</v>
      </c>
      <c r="C65" s="3">
        <v>23.12</v>
      </c>
      <c r="D65" s="3">
        <v>18.5</v>
      </c>
      <c r="E65" s="3">
        <v>6.68</v>
      </c>
      <c r="F65" s="3">
        <v>62.65</v>
      </c>
      <c r="G65" s="3">
        <v>0.3</v>
      </c>
      <c r="H65" s="3">
        <v>22.81</v>
      </c>
      <c r="I65">
        <v>0</v>
      </c>
      <c r="J65">
        <v>70</v>
      </c>
      <c r="K65">
        <v>175</v>
      </c>
      <c r="L65">
        <v>70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 t="s">
        <v>21</v>
      </c>
      <c r="W65" t="s">
        <v>24</v>
      </c>
      <c r="X65" t="s">
        <v>29</v>
      </c>
      <c r="Y65">
        <v>1.0544500000000001</v>
      </c>
    </row>
    <row r="66" spans="1:25" x14ac:dyDescent="0.35">
      <c r="A66" s="2">
        <v>44434.538478263887</v>
      </c>
      <c r="B66" s="3">
        <v>17.5</v>
      </c>
      <c r="C66" s="3">
        <f>(24.56+22.26)/2</f>
        <v>23.41</v>
      </c>
      <c r="D66" s="3">
        <f>(24.44+22.19)/2</f>
        <v>23.315000000000001</v>
      </c>
      <c r="E66" s="3">
        <f>(3.47+0.27)/2</f>
        <v>1.87</v>
      </c>
      <c r="F66" s="3">
        <f>(57.86+54.54)/2</f>
        <v>56.2</v>
      </c>
      <c r="G66" s="3">
        <f>(0.3+0.14)/2</f>
        <v>0.22</v>
      </c>
      <c r="H66" s="3">
        <f>(20.44+24.25)/2</f>
        <v>22.344999999999999</v>
      </c>
      <c r="I66">
        <v>0</v>
      </c>
      <c r="J66">
        <v>24</v>
      </c>
      <c r="K66">
        <v>168</v>
      </c>
      <c r="L66">
        <v>56</v>
      </c>
      <c r="M66">
        <v>1</v>
      </c>
      <c r="N66">
        <v>-2</v>
      </c>
      <c r="O66">
        <v>-2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 t="s">
        <v>20</v>
      </c>
      <c r="W66" t="s">
        <v>25</v>
      </c>
      <c r="X66" t="s">
        <v>29</v>
      </c>
      <c r="Y66">
        <v>1.13795</v>
      </c>
    </row>
    <row r="67" spans="1:25" x14ac:dyDescent="0.35">
      <c r="A67" s="2">
        <v>44434.541666666657</v>
      </c>
      <c r="B67" s="3">
        <v>17.100000000000001</v>
      </c>
      <c r="C67" s="3">
        <f>(22.84+26.46)/2</f>
        <v>24.65</v>
      </c>
      <c r="D67" s="3">
        <f>(22.5+27.69)/2</f>
        <v>25.094999999999999</v>
      </c>
      <c r="E67" s="3">
        <f>(2.76+2.42)/2</f>
        <v>2.59</v>
      </c>
      <c r="F67" s="3">
        <f>(57.89+47.15)/2</f>
        <v>52.519999999999996</v>
      </c>
      <c r="G67" s="3">
        <v>0.05</v>
      </c>
      <c r="H67" s="3">
        <f>(21.94+27.13)/2</f>
        <v>24.535</v>
      </c>
      <c r="I67">
        <v>0</v>
      </c>
      <c r="J67">
        <v>76</v>
      </c>
      <c r="K67">
        <v>167</v>
      </c>
      <c r="L67">
        <v>60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19</v>
      </c>
      <c r="W67" t="s">
        <v>25</v>
      </c>
      <c r="X67" t="s">
        <v>29</v>
      </c>
      <c r="Y67">
        <v>0.76219999999999999</v>
      </c>
    </row>
    <row r="68" spans="1:25" x14ac:dyDescent="0.35">
      <c r="A68" s="2">
        <v>44434.545607777778</v>
      </c>
      <c r="B68" s="3">
        <v>16.91</v>
      </c>
      <c r="C68" s="3">
        <f>(24.4+22.12)/2</f>
        <v>23.259999999999998</v>
      </c>
      <c r="D68" s="3">
        <f>(24.12+22.13)/2</f>
        <v>23.125</v>
      </c>
      <c r="E68" s="3">
        <f>(0.39+3.15)/2</f>
        <v>1.77</v>
      </c>
      <c r="F68" s="3">
        <f>(56.05+52.64)/2</f>
        <v>54.344999999999999</v>
      </c>
      <c r="G68" s="3">
        <f>(0.38+0.11)/2</f>
        <v>0.245</v>
      </c>
      <c r="H68" s="3">
        <f>(20.31+24.37)/2</f>
        <v>22.34</v>
      </c>
      <c r="I68">
        <v>0</v>
      </c>
      <c r="J68">
        <v>19</v>
      </c>
      <c r="K68">
        <v>156</v>
      </c>
      <c r="L68">
        <v>48</v>
      </c>
      <c r="M68">
        <v>1</v>
      </c>
      <c r="N68">
        <v>0</v>
      </c>
      <c r="O68">
        <v>-2</v>
      </c>
      <c r="P68">
        <v>-2</v>
      </c>
      <c r="Q68">
        <v>0</v>
      </c>
      <c r="R68">
        <v>0</v>
      </c>
      <c r="S68">
        <v>1</v>
      </c>
      <c r="T68">
        <v>1</v>
      </c>
      <c r="U68">
        <v>0</v>
      </c>
      <c r="V68" t="s">
        <v>20</v>
      </c>
      <c r="W68" t="s">
        <v>25</v>
      </c>
      <c r="X68" t="s">
        <v>26</v>
      </c>
      <c r="Y68">
        <v>0.82064999999999999</v>
      </c>
    </row>
    <row r="69" spans="1:25" x14ac:dyDescent="0.35">
      <c r="A69" s="2">
        <v>44434.562118287038</v>
      </c>
      <c r="B69" s="3">
        <v>17.7</v>
      </c>
      <c r="C69" s="3">
        <f>(23.44)</f>
        <v>23.44</v>
      </c>
      <c r="D69" s="3">
        <f>(23.31+21.5)/2</f>
        <v>22.405000000000001</v>
      </c>
      <c r="E69" s="3">
        <f>(3.15+0.78)/2</f>
        <v>1.9649999999999999</v>
      </c>
      <c r="F69" s="3">
        <f>(49.26+51.75)/2</f>
        <v>50.504999999999995</v>
      </c>
      <c r="G69" s="3">
        <f>(0.21+0.11)/2</f>
        <v>0.16</v>
      </c>
      <c r="H69" s="3">
        <f>(23.44+21.37)/2</f>
        <v>22.405000000000001</v>
      </c>
      <c r="I69">
        <v>1</v>
      </c>
      <c r="J69">
        <v>27</v>
      </c>
      <c r="K69">
        <v>183</v>
      </c>
      <c r="L69">
        <v>72</v>
      </c>
      <c r="M69">
        <v>2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 t="s">
        <v>20</v>
      </c>
      <c r="W69" t="s">
        <v>25</v>
      </c>
      <c r="X69" t="s">
        <v>29</v>
      </c>
      <c r="Y69">
        <v>0.89580000000000004</v>
      </c>
    </row>
    <row r="70" spans="1:25" x14ac:dyDescent="0.35">
      <c r="A70" s="2">
        <v>44434.562316990741</v>
      </c>
      <c r="B70" s="3">
        <v>17.7</v>
      </c>
      <c r="C70" s="3">
        <v>20.78</v>
      </c>
      <c r="D70" s="3">
        <v>19.5</v>
      </c>
      <c r="E70" s="3">
        <v>3.43</v>
      </c>
      <c r="F70" s="3">
        <v>54.53</v>
      </c>
      <c r="G70" s="3">
        <v>0.06</v>
      </c>
      <c r="H70" s="3">
        <v>20.75</v>
      </c>
      <c r="I70">
        <v>0</v>
      </c>
      <c r="J70">
        <v>27</v>
      </c>
      <c r="K70">
        <v>164</v>
      </c>
      <c r="L70">
        <v>75</v>
      </c>
      <c r="M70">
        <v>2</v>
      </c>
      <c r="N70">
        <v>-2</v>
      </c>
      <c r="O70">
        <v>-2</v>
      </c>
      <c r="P70">
        <v>0</v>
      </c>
      <c r="Q70">
        <v>-2</v>
      </c>
      <c r="R70">
        <v>0</v>
      </c>
      <c r="S70">
        <v>0</v>
      </c>
      <c r="T70">
        <v>0</v>
      </c>
      <c r="U70">
        <v>0</v>
      </c>
      <c r="V70" t="s">
        <v>18</v>
      </c>
      <c r="W70" t="s">
        <v>25</v>
      </c>
      <c r="X70" t="s">
        <v>27</v>
      </c>
      <c r="Y70">
        <v>0.60355000000000003</v>
      </c>
    </row>
    <row r="71" spans="1:25" x14ac:dyDescent="0.35">
      <c r="A71" s="2">
        <v>44434.563470821762</v>
      </c>
      <c r="B71" s="3">
        <v>17.7</v>
      </c>
      <c r="C71" s="3">
        <v>20.7</v>
      </c>
      <c r="D71" s="3">
        <v>19.440000000000001</v>
      </c>
      <c r="E71" s="3">
        <v>3.61</v>
      </c>
      <c r="F71" s="3">
        <v>54.44</v>
      </c>
      <c r="G71" s="3">
        <v>0.06</v>
      </c>
      <c r="H71" s="3">
        <v>20.81</v>
      </c>
      <c r="I71">
        <v>1</v>
      </c>
      <c r="J71">
        <v>31</v>
      </c>
      <c r="K71">
        <v>168</v>
      </c>
      <c r="L71">
        <v>86</v>
      </c>
      <c r="M71">
        <v>1</v>
      </c>
      <c r="N71">
        <v>-1</v>
      </c>
      <c r="O71">
        <v>0</v>
      </c>
      <c r="P71">
        <v>2</v>
      </c>
      <c r="Q71">
        <v>2</v>
      </c>
      <c r="R71">
        <v>1</v>
      </c>
      <c r="S71">
        <v>0</v>
      </c>
      <c r="T71">
        <v>0</v>
      </c>
      <c r="U71">
        <v>0</v>
      </c>
      <c r="V71" t="s">
        <v>18</v>
      </c>
      <c r="W71" t="s">
        <v>25</v>
      </c>
      <c r="X71" t="s">
        <v>26</v>
      </c>
      <c r="Y71">
        <v>0.51169999999999993</v>
      </c>
    </row>
    <row r="72" spans="1:25" x14ac:dyDescent="0.35">
      <c r="A72" s="2">
        <v>44434.564121608797</v>
      </c>
      <c r="B72" s="3">
        <v>17.7</v>
      </c>
      <c r="C72" s="3">
        <v>21.33</v>
      </c>
      <c r="D72" s="3">
        <v>19.5</v>
      </c>
      <c r="E72" s="3">
        <v>2.64</v>
      </c>
      <c r="F72" s="3">
        <v>57.75</v>
      </c>
      <c r="G72" s="3">
        <v>0.23</v>
      </c>
      <c r="H72" s="3">
        <v>20.25</v>
      </c>
      <c r="I72">
        <v>0</v>
      </c>
      <c r="J72">
        <v>31</v>
      </c>
      <c r="K72">
        <v>160</v>
      </c>
      <c r="L72">
        <v>64</v>
      </c>
      <c r="M72">
        <v>1</v>
      </c>
      <c r="N72">
        <v>1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 t="s">
        <v>23</v>
      </c>
      <c r="W72" t="s">
        <v>25</v>
      </c>
      <c r="X72" t="s">
        <v>26</v>
      </c>
      <c r="Y72">
        <v>0.82064999999999999</v>
      </c>
    </row>
    <row r="73" spans="1:25" x14ac:dyDescent="0.35">
      <c r="A73" s="2">
        <v>44434.567049560188</v>
      </c>
      <c r="B73" s="3">
        <v>17.2</v>
      </c>
      <c r="C73" s="3">
        <f>(23.15+21.54)/2</f>
        <v>22.344999999999999</v>
      </c>
      <c r="D73" s="3">
        <f>(21.31+22.94)/2</f>
        <v>22.125</v>
      </c>
      <c r="E73" s="3">
        <f>(0.78+3.75)/2</f>
        <v>2.2650000000000001</v>
      </c>
      <c r="F73" s="3">
        <f>(49.74+51.59)/2</f>
        <v>50.665000000000006</v>
      </c>
      <c r="G73" s="3">
        <f>(0.24+0.09)/2</f>
        <v>0.16499999999999998</v>
      </c>
      <c r="H73" s="3">
        <f>(23.44+20.81)/2</f>
        <v>22.125</v>
      </c>
      <c r="I73">
        <v>1</v>
      </c>
      <c r="J73">
        <v>30</v>
      </c>
      <c r="K73">
        <v>180</v>
      </c>
      <c r="L73">
        <v>81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20</v>
      </c>
      <c r="W73" t="s">
        <v>24</v>
      </c>
      <c r="X73" t="s">
        <v>28</v>
      </c>
      <c r="Y73">
        <v>0.44490000000000002</v>
      </c>
    </row>
    <row r="74" spans="1:25" x14ac:dyDescent="0.35">
      <c r="A74" s="2">
        <v>44434.567268009261</v>
      </c>
      <c r="B74" s="3">
        <v>17.2</v>
      </c>
      <c r="C74" s="3">
        <v>20.64</v>
      </c>
      <c r="D74" s="3">
        <v>19.37</v>
      </c>
      <c r="E74" s="3">
        <v>3.15</v>
      </c>
      <c r="F74" s="3">
        <v>56.91</v>
      </c>
      <c r="G74" s="3">
        <v>0.22</v>
      </c>
      <c r="H74" s="3">
        <v>19.940000000000001</v>
      </c>
      <c r="I74">
        <v>0</v>
      </c>
      <c r="J74">
        <v>35</v>
      </c>
      <c r="K74">
        <v>170</v>
      </c>
      <c r="L74">
        <v>70</v>
      </c>
      <c r="M74">
        <v>2</v>
      </c>
      <c r="N74">
        <v>2</v>
      </c>
      <c r="O74">
        <v>2</v>
      </c>
      <c r="P74">
        <v>2</v>
      </c>
      <c r="Q74">
        <v>2</v>
      </c>
      <c r="R74">
        <v>0</v>
      </c>
      <c r="S74">
        <v>0</v>
      </c>
      <c r="T74">
        <v>0</v>
      </c>
      <c r="U74">
        <v>0</v>
      </c>
      <c r="V74" t="s">
        <v>23</v>
      </c>
      <c r="W74" t="s">
        <v>25</v>
      </c>
      <c r="X74" t="s">
        <v>28</v>
      </c>
      <c r="Y74">
        <v>0.41984999999999989</v>
      </c>
    </row>
    <row r="75" spans="1:25" x14ac:dyDescent="0.35">
      <c r="A75" s="2">
        <v>44434.568749999999</v>
      </c>
      <c r="B75" s="3">
        <v>17.5</v>
      </c>
      <c r="C75" s="3">
        <v>20.53</v>
      </c>
      <c r="D75" s="3">
        <v>19.190000000000001</v>
      </c>
      <c r="E75" s="3">
        <v>3.29</v>
      </c>
      <c r="F75" s="3">
        <v>59.42</v>
      </c>
      <c r="G75" s="3">
        <v>0.23</v>
      </c>
      <c r="H75" s="3">
        <v>19.940000000000001</v>
      </c>
      <c r="I75">
        <v>1</v>
      </c>
      <c r="J75">
        <v>73</v>
      </c>
      <c r="K75">
        <v>176</v>
      </c>
      <c r="L75">
        <v>70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t="s">
        <v>23</v>
      </c>
      <c r="W75" t="s">
        <v>25</v>
      </c>
      <c r="X75" t="s">
        <v>26</v>
      </c>
      <c r="Y75">
        <v>0.77890000000000004</v>
      </c>
    </row>
    <row r="76" spans="1:25" x14ac:dyDescent="0.35">
      <c r="A76" s="2">
        <v>44434.572256817133</v>
      </c>
      <c r="B76" s="3">
        <v>17.8</v>
      </c>
      <c r="C76" s="3">
        <f>(22.17+26.47)/2</f>
        <v>24.32</v>
      </c>
      <c r="D76" s="3">
        <f>(21.87+27.06)/2</f>
        <v>24.465</v>
      </c>
      <c r="E76" s="3">
        <f>(2.6+2.73)/2</f>
        <v>2.665</v>
      </c>
      <c r="F76" s="3">
        <f>(59.04+46.02)/2</f>
        <v>52.53</v>
      </c>
      <c r="G76" s="3">
        <v>0.05</v>
      </c>
      <c r="H76" s="3">
        <f>(21.69+27.19)/2</f>
        <v>24.44</v>
      </c>
      <c r="I76">
        <v>0</v>
      </c>
      <c r="J76">
        <v>42</v>
      </c>
      <c r="K76">
        <v>170</v>
      </c>
      <c r="L76">
        <v>61</v>
      </c>
      <c r="M76">
        <v>0</v>
      </c>
      <c r="N76">
        <v>2</v>
      </c>
      <c r="O76">
        <v>1</v>
      </c>
      <c r="P76">
        <v>2</v>
      </c>
      <c r="Q76">
        <v>2</v>
      </c>
      <c r="R76">
        <v>1</v>
      </c>
      <c r="S76">
        <v>0</v>
      </c>
      <c r="T76">
        <v>1</v>
      </c>
      <c r="U76">
        <v>1</v>
      </c>
      <c r="V76" t="s">
        <v>19</v>
      </c>
      <c r="W76" t="s">
        <v>24</v>
      </c>
      <c r="X76" t="s">
        <v>26</v>
      </c>
      <c r="Y76">
        <v>0.88744999999999996</v>
      </c>
    </row>
    <row r="77" spans="1:25" x14ac:dyDescent="0.35">
      <c r="A77" s="2">
        <v>44434.574999999997</v>
      </c>
      <c r="B77" s="3">
        <v>17.600000000000001</v>
      </c>
      <c r="C77" s="3">
        <f>(21.79+23.22)/2</f>
        <v>22.504999999999999</v>
      </c>
      <c r="D77" s="3">
        <f>(21.75+22.87)/2</f>
        <v>22.310000000000002</v>
      </c>
      <c r="E77" s="3">
        <f>(0.86+3.61)/2</f>
        <v>2.2349999999999999</v>
      </c>
      <c r="F77" s="3">
        <f>(49.35+51.8)/2</f>
        <v>50.575000000000003</v>
      </c>
      <c r="G77" s="3">
        <f>(0.22+0.13)/2</f>
        <v>0.17499999999999999</v>
      </c>
      <c r="H77" s="3">
        <f>(20.31+23.62)/2</f>
        <v>21.965</v>
      </c>
      <c r="I77">
        <v>1</v>
      </c>
      <c r="J77">
        <v>65</v>
      </c>
      <c r="K77">
        <v>181</v>
      </c>
      <c r="L77">
        <v>91</v>
      </c>
      <c r="M77">
        <v>1</v>
      </c>
      <c r="N77">
        <v>-1</v>
      </c>
      <c r="O77">
        <v>2</v>
      </c>
      <c r="P77">
        <v>1</v>
      </c>
      <c r="Q77">
        <v>1</v>
      </c>
      <c r="R77">
        <v>1</v>
      </c>
      <c r="S77">
        <v>0</v>
      </c>
      <c r="T77">
        <v>1</v>
      </c>
      <c r="U77">
        <v>1</v>
      </c>
      <c r="V77" t="s">
        <v>20</v>
      </c>
      <c r="W77" t="s">
        <v>25</v>
      </c>
      <c r="X77" t="s">
        <v>29</v>
      </c>
      <c r="Y77">
        <v>0.90415000000000001</v>
      </c>
    </row>
    <row r="78" spans="1:25" x14ac:dyDescent="0.35">
      <c r="A78" s="2">
        <v>44434.576675509263</v>
      </c>
      <c r="B78" s="3">
        <v>17.600000000000001</v>
      </c>
      <c r="C78" s="3">
        <f>(21.68+22.77)/2</f>
        <v>22.225000000000001</v>
      </c>
      <c r="D78" s="3">
        <f>(21.62+22.19)/2</f>
        <v>21.905000000000001</v>
      </c>
      <c r="E78" s="3">
        <f>(3.61+0.94)/2</f>
        <v>2.2749999999999999</v>
      </c>
      <c r="F78" s="3">
        <f>(47.71+50.97)/2</f>
        <v>49.34</v>
      </c>
      <c r="G78" s="3">
        <f>(1.31+0.1)/2</f>
        <v>0.70500000000000007</v>
      </c>
      <c r="H78" s="3">
        <f>(23.62+20.37)/2</f>
        <v>21.995000000000001</v>
      </c>
      <c r="I78">
        <v>0</v>
      </c>
      <c r="J78">
        <v>23</v>
      </c>
      <c r="K78">
        <v>165</v>
      </c>
      <c r="L78">
        <v>59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20</v>
      </c>
      <c r="W78" t="s">
        <v>24</v>
      </c>
      <c r="X78" t="s">
        <v>26</v>
      </c>
      <c r="Y78">
        <v>0.88744999999999996</v>
      </c>
    </row>
    <row r="79" spans="1:25" x14ac:dyDescent="0.35">
      <c r="A79" s="2">
        <v>44434.576779884257</v>
      </c>
      <c r="B79" s="3">
        <v>17.600000000000001</v>
      </c>
      <c r="C79" s="3">
        <v>20.89</v>
      </c>
      <c r="D79" s="3">
        <v>20</v>
      </c>
      <c r="E79" s="3">
        <v>3.43</v>
      </c>
      <c r="F79" s="3">
        <v>55.66</v>
      </c>
      <c r="G79" s="3">
        <v>0.13</v>
      </c>
      <c r="H79" s="3">
        <v>20.94</v>
      </c>
      <c r="I79">
        <v>0</v>
      </c>
      <c r="J79">
        <v>23</v>
      </c>
      <c r="K79">
        <v>160</v>
      </c>
      <c r="L79">
        <v>55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18</v>
      </c>
      <c r="W79" t="s">
        <v>25</v>
      </c>
      <c r="X79" t="s">
        <v>29</v>
      </c>
      <c r="Y79">
        <v>0.76219999999999999</v>
      </c>
    </row>
    <row r="80" spans="1:25" x14ac:dyDescent="0.35">
      <c r="A80" s="2">
        <v>44434.579427847217</v>
      </c>
      <c r="B80" s="3">
        <v>17.41</v>
      </c>
      <c r="C80" s="3">
        <v>20.64</v>
      </c>
      <c r="D80" s="3">
        <v>19.75</v>
      </c>
      <c r="E80" s="3">
        <v>3.61</v>
      </c>
      <c r="F80" s="3">
        <v>54.9</v>
      </c>
      <c r="G80" s="3">
        <v>7.0000000000000007E-2</v>
      </c>
      <c r="H80" s="3">
        <v>20.88</v>
      </c>
      <c r="I80">
        <v>0</v>
      </c>
      <c r="J80">
        <v>24</v>
      </c>
      <c r="K80">
        <v>156</v>
      </c>
      <c r="L80">
        <v>50</v>
      </c>
      <c r="M80">
        <v>0</v>
      </c>
      <c r="N80">
        <v>-2</v>
      </c>
      <c r="O80">
        <v>0</v>
      </c>
      <c r="P80">
        <v>-3</v>
      </c>
      <c r="Q80">
        <v>-1</v>
      </c>
      <c r="R80">
        <v>1</v>
      </c>
      <c r="S80">
        <v>0</v>
      </c>
      <c r="T80">
        <v>1</v>
      </c>
      <c r="U80">
        <v>1</v>
      </c>
      <c r="V80" t="s">
        <v>18</v>
      </c>
      <c r="W80" t="s">
        <v>24</v>
      </c>
      <c r="X80" t="s">
        <v>29</v>
      </c>
      <c r="Y80">
        <v>0.68705000000000005</v>
      </c>
    </row>
    <row r="81" spans="1:25" x14ac:dyDescent="0.35">
      <c r="A81" s="2">
        <v>44434.583524942129</v>
      </c>
      <c r="B81" s="3">
        <v>17.5</v>
      </c>
      <c r="C81" s="3">
        <f>(22.61+26.24)/2</f>
        <v>24.424999999999997</v>
      </c>
      <c r="D81" s="3">
        <f>(22.31+26.75)/2</f>
        <v>24.53</v>
      </c>
      <c r="E81" s="3">
        <f>(1.51+3.04)/2</f>
        <v>2.2749999999999999</v>
      </c>
      <c r="F81" s="3">
        <f>(54.99+43.55)/2</f>
        <v>49.269999999999996</v>
      </c>
      <c r="G81" s="3">
        <v>0.05</v>
      </c>
      <c r="H81" s="3">
        <f>(27.06+21.87)/2</f>
        <v>24.465</v>
      </c>
      <c r="I81">
        <v>1</v>
      </c>
      <c r="J81">
        <v>24</v>
      </c>
      <c r="K81">
        <v>192</v>
      </c>
      <c r="L81">
        <v>75</v>
      </c>
      <c r="M81">
        <v>1</v>
      </c>
      <c r="N81">
        <v>2</v>
      </c>
      <c r="O81">
        <v>2</v>
      </c>
      <c r="P81">
        <v>2</v>
      </c>
      <c r="Q81">
        <v>2</v>
      </c>
      <c r="R81">
        <v>1</v>
      </c>
      <c r="S81">
        <v>1</v>
      </c>
      <c r="T81">
        <v>1</v>
      </c>
      <c r="U81">
        <v>1</v>
      </c>
      <c r="V81" t="s">
        <v>19</v>
      </c>
      <c r="W81" t="s">
        <v>24</v>
      </c>
      <c r="X81" t="s">
        <v>26</v>
      </c>
      <c r="Y81">
        <v>0.96260000000000001</v>
      </c>
    </row>
    <row r="82" spans="1:25" x14ac:dyDescent="0.35">
      <c r="A82" s="2">
        <v>44434.613194444442</v>
      </c>
      <c r="B82" s="3">
        <v>17.5</v>
      </c>
      <c r="C82" s="3">
        <v>21.56</v>
      </c>
      <c r="D82" s="3">
        <v>19.5</v>
      </c>
      <c r="E82" s="3">
        <v>2.96</v>
      </c>
      <c r="F82" s="3">
        <v>58.55</v>
      </c>
      <c r="G82" s="3">
        <v>0.25</v>
      </c>
      <c r="H82" s="3">
        <v>21.19</v>
      </c>
      <c r="I82">
        <v>0</v>
      </c>
      <c r="J82">
        <v>58</v>
      </c>
      <c r="K82">
        <v>157</v>
      </c>
      <c r="L82">
        <v>60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 t="s">
        <v>23</v>
      </c>
      <c r="W82" t="s">
        <v>24</v>
      </c>
      <c r="X82" t="s">
        <v>26</v>
      </c>
      <c r="Y82">
        <v>0.76219999999999999</v>
      </c>
    </row>
    <row r="83" spans="1:25" x14ac:dyDescent="0.35">
      <c r="A83" s="2">
        <v>44434.614676689816</v>
      </c>
      <c r="B83" s="3">
        <v>17.600000000000001</v>
      </c>
      <c r="C83" s="3">
        <f>(23.67+22.84)/2</f>
        <v>23.255000000000003</v>
      </c>
      <c r="D83" s="3">
        <f>(23.38+22.81)/2</f>
        <v>23.094999999999999</v>
      </c>
      <c r="E83" s="3">
        <f>(1.72+0.46)/2</f>
        <v>1.0900000000000001</v>
      </c>
      <c r="F83" s="3">
        <f>(51.43+51.85)/2</f>
        <v>51.64</v>
      </c>
      <c r="G83" s="3">
        <f>(0.1+0.55)/2</f>
        <v>0.32500000000000001</v>
      </c>
      <c r="H83" s="3">
        <f>(23.75+23.06)/2</f>
        <v>23.405000000000001</v>
      </c>
      <c r="I83">
        <v>0</v>
      </c>
      <c r="J83">
        <v>20</v>
      </c>
      <c r="K83">
        <v>170</v>
      </c>
      <c r="L83">
        <v>64</v>
      </c>
      <c r="M83">
        <v>0</v>
      </c>
      <c r="N83">
        <v>0</v>
      </c>
      <c r="O83">
        <v>0</v>
      </c>
      <c r="P83">
        <v>-1</v>
      </c>
      <c r="Q83">
        <v>-1</v>
      </c>
      <c r="R83">
        <v>0</v>
      </c>
      <c r="S83">
        <v>0</v>
      </c>
      <c r="T83">
        <v>1</v>
      </c>
      <c r="U83">
        <v>1</v>
      </c>
      <c r="V83" t="s">
        <v>20</v>
      </c>
      <c r="W83" t="s">
        <v>25</v>
      </c>
      <c r="Y83">
        <v>0.89580000000000004</v>
      </c>
    </row>
    <row r="84" spans="1:25" x14ac:dyDescent="0.35">
      <c r="A84" s="2">
        <v>44434.615277777782</v>
      </c>
      <c r="B84" s="3">
        <v>17.899999999999999</v>
      </c>
      <c r="C84" s="3">
        <f>(23.64+26.21)/2</f>
        <v>24.925000000000001</v>
      </c>
      <c r="D84" s="3">
        <f>(23.19+26.94)/2</f>
        <v>25.065000000000001</v>
      </c>
      <c r="E84" s="3">
        <f>(0.78+2.34)/2</f>
        <v>1.56</v>
      </c>
      <c r="F84" s="3">
        <f>(53.86+44)/2</f>
        <v>48.93</v>
      </c>
      <c r="G84" s="3">
        <v>7.0000000000000007E-2</v>
      </c>
      <c r="H84" s="3">
        <f>(23.25+27.37)/2</f>
        <v>25.310000000000002</v>
      </c>
      <c r="I84">
        <v>1</v>
      </c>
      <c r="J84">
        <v>48</v>
      </c>
      <c r="K84">
        <v>180</v>
      </c>
      <c r="L84">
        <v>77</v>
      </c>
      <c r="M84">
        <v>0</v>
      </c>
      <c r="N84">
        <v>-1</v>
      </c>
      <c r="O84">
        <v>-2</v>
      </c>
      <c r="P84">
        <v>-2</v>
      </c>
      <c r="Q84">
        <v>-1</v>
      </c>
      <c r="R84">
        <v>0</v>
      </c>
      <c r="S84">
        <v>1</v>
      </c>
      <c r="T84">
        <v>1</v>
      </c>
      <c r="U84">
        <v>0</v>
      </c>
      <c r="V84" t="s">
        <v>19</v>
      </c>
      <c r="W84" t="s">
        <v>25</v>
      </c>
      <c r="X84" t="s">
        <v>30</v>
      </c>
      <c r="Y84">
        <v>0.89580000000000004</v>
      </c>
    </row>
    <row r="85" spans="1:25" x14ac:dyDescent="0.35">
      <c r="A85" s="2">
        <v>44434.616858518522</v>
      </c>
      <c r="B85" s="3">
        <v>17.7</v>
      </c>
      <c r="C85" s="3">
        <v>21.98</v>
      </c>
      <c r="D85" s="3">
        <v>20.440000000000001</v>
      </c>
      <c r="E85" s="3">
        <v>2.36</v>
      </c>
      <c r="F85" s="3">
        <v>53.05</v>
      </c>
      <c r="G85" s="3">
        <v>7.0000000000000007E-2</v>
      </c>
      <c r="H85" s="3">
        <v>22.06</v>
      </c>
      <c r="I85">
        <v>0</v>
      </c>
      <c r="J85">
        <v>13</v>
      </c>
      <c r="K85">
        <v>160</v>
      </c>
      <c r="L85">
        <v>47</v>
      </c>
      <c r="M85">
        <v>2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 t="s">
        <v>18</v>
      </c>
      <c r="W85" t="s">
        <v>25</v>
      </c>
      <c r="X85" t="s">
        <v>29</v>
      </c>
      <c r="Y85">
        <v>0.98765000000000003</v>
      </c>
    </row>
    <row r="86" spans="1:25" x14ac:dyDescent="0.35">
      <c r="A86" s="2">
        <v>44434.622289791667</v>
      </c>
      <c r="B86" s="3">
        <v>18.7</v>
      </c>
      <c r="C86" s="3">
        <f>(26.13+23.72)/2</f>
        <v>24.924999999999997</v>
      </c>
      <c r="D86" s="3">
        <f>(22.81+26.75)/2</f>
        <v>24.78</v>
      </c>
      <c r="E86" s="3">
        <f>(1.3+2.54)/2</f>
        <v>1.92</v>
      </c>
      <c r="F86" s="3">
        <f>(49.98+42.07)/2</f>
        <v>46.024999999999999</v>
      </c>
      <c r="G86" s="3">
        <v>0.04</v>
      </c>
      <c r="H86" s="3">
        <f>(23.31+27.06)/2</f>
        <v>25.184999999999999</v>
      </c>
      <c r="I86">
        <v>1</v>
      </c>
      <c r="J86">
        <v>30</v>
      </c>
      <c r="K86">
        <v>180</v>
      </c>
      <c r="L86">
        <v>88</v>
      </c>
      <c r="M86">
        <v>0</v>
      </c>
      <c r="N86">
        <v>1</v>
      </c>
      <c r="O86">
        <v>0</v>
      </c>
      <c r="P86">
        <v>0</v>
      </c>
      <c r="Q86">
        <v>1</v>
      </c>
      <c r="R86">
        <v>1</v>
      </c>
      <c r="S86">
        <v>1</v>
      </c>
      <c r="T86">
        <v>1</v>
      </c>
      <c r="U86">
        <v>2</v>
      </c>
      <c r="V86" t="s">
        <v>19</v>
      </c>
      <c r="W86" t="s">
        <v>24</v>
      </c>
      <c r="X86" t="s">
        <v>26</v>
      </c>
      <c r="Y86">
        <v>0.89580000000000004</v>
      </c>
    </row>
    <row r="87" spans="1:25" x14ac:dyDescent="0.35">
      <c r="A87" s="2">
        <v>44434.624643194453</v>
      </c>
      <c r="B87" s="3">
        <v>18.7</v>
      </c>
      <c r="C87" s="3">
        <v>22.3</v>
      </c>
      <c r="D87" s="3">
        <v>20.5</v>
      </c>
      <c r="E87" s="3">
        <v>2.5499999999999998</v>
      </c>
      <c r="F87" s="3">
        <v>52.29</v>
      </c>
      <c r="G87" s="3">
        <v>0.1</v>
      </c>
      <c r="H87" s="3">
        <v>22.5</v>
      </c>
      <c r="I87">
        <v>1</v>
      </c>
      <c r="J87">
        <v>29</v>
      </c>
      <c r="K87">
        <v>181</v>
      </c>
      <c r="L87">
        <v>69</v>
      </c>
      <c r="M87">
        <v>1</v>
      </c>
      <c r="N87">
        <v>0</v>
      </c>
      <c r="O87">
        <v>0</v>
      </c>
      <c r="P87">
        <v>-1</v>
      </c>
      <c r="Q87">
        <v>1</v>
      </c>
      <c r="R87">
        <v>0</v>
      </c>
      <c r="S87">
        <v>0</v>
      </c>
      <c r="T87">
        <v>0</v>
      </c>
      <c r="U87">
        <v>1</v>
      </c>
      <c r="V87" t="s">
        <v>18</v>
      </c>
      <c r="W87" t="s">
        <v>25</v>
      </c>
      <c r="X87" t="s">
        <v>29</v>
      </c>
      <c r="Y87">
        <v>0.70374999999999999</v>
      </c>
    </row>
    <row r="88" spans="1:25" x14ac:dyDescent="0.35">
      <c r="A88" s="2">
        <v>44434.62658625</v>
      </c>
      <c r="B88" s="3">
        <v>19</v>
      </c>
      <c r="C88" s="3">
        <v>22.64</v>
      </c>
      <c r="D88" s="3">
        <v>21.12</v>
      </c>
      <c r="E88" s="3">
        <v>2.09</v>
      </c>
      <c r="F88" s="3">
        <v>56.26</v>
      </c>
      <c r="G88" s="3">
        <v>0.33</v>
      </c>
      <c r="H88" s="3">
        <v>22.37</v>
      </c>
      <c r="I88">
        <v>1</v>
      </c>
      <c r="J88">
        <v>73</v>
      </c>
      <c r="K88">
        <v>180</v>
      </c>
      <c r="L88">
        <v>100</v>
      </c>
      <c r="M88">
        <v>1</v>
      </c>
      <c r="N88">
        <v>0</v>
      </c>
      <c r="O88">
        <v>0</v>
      </c>
      <c r="P88">
        <v>0</v>
      </c>
      <c r="Q88">
        <v>-2</v>
      </c>
      <c r="R88">
        <v>0</v>
      </c>
      <c r="S88">
        <v>0</v>
      </c>
      <c r="T88">
        <v>0</v>
      </c>
      <c r="U88">
        <v>0</v>
      </c>
      <c r="V88" t="s">
        <v>23</v>
      </c>
      <c r="W88" t="s">
        <v>25</v>
      </c>
      <c r="X88" t="s">
        <v>28</v>
      </c>
      <c r="Y88">
        <v>0.46160000000000001</v>
      </c>
    </row>
    <row r="89" spans="1:25" x14ac:dyDescent="0.35">
      <c r="A89" s="2">
        <v>44434.627114456023</v>
      </c>
      <c r="B89" s="3">
        <v>19</v>
      </c>
      <c r="C89" s="3">
        <v>23.3</v>
      </c>
      <c r="D89" s="3">
        <v>22.19</v>
      </c>
      <c r="E89" s="3">
        <v>1.62</v>
      </c>
      <c r="F89" s="3">
        <v>56.99</v>
      </c>
      <c r="G89" s="3">
        <v>0.18</v>
      </c>
      <c r="H89" s="3">
        <v>23.12</v>
      </c>
      <c r="I89">
        <v>0</v>
      </c>
      <c r="J89">
        <v>45</v>
      </c>
      <c r="K89">
        <v>170</v>
      </c>
      <c r="L89">
        <v>100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22</v>
      </c>
      <c r="W89" t="s">
        <v>24</v>
      </c>
      <c r="X89" t="s">
        <v>26</v>
      </c>
      <c r="Y89">
        <v>0.69540000000000002</v>
      </c>
    </row>
    <row r="90" spans="1:25" x14ac:dyDescent="0.35">
      <c r="A90" s="2">
        <v>44434.636607638888</v>
      </c>
      <c r="B90" s="3">
        <v>19.100000000000001</v>
      </c>
      <c r="C90" s="3">
        <v>22.92</v>
      </c>
      <c r="D90" s="3">
        <v>22.19</v>
      </c>
      <c r="E90" s="3">
        <v>1.75</v>
      </c>
      <c r="F90" s="3">
        <v>52.37</v>
      </c>
      <c r="G90" s="3">
        <v>0.3</v>
      </c>
      <c r="H90" s="3">
        <v>22.87</v>
      </c>
      <c r="I90">
        <v>0</v>
      </c>
      <c r="J90">
        <v>24</v>
      </c>
      <c r="K90">
        <v>173</v>
      </c>
      <c r="L90">
        <v>58</v>
      </c>
      <c r="M90">
        <v>1</v>
      </c>
      <c r="N90">
        <v>-3</v>
      </c>
      <c r="O90">
        <v>0</v>
      </c>
      <c r="P90">
        <v>-3</v>
      </c>
      <c r="Q90">
        <v>-2</v>
      </c>
      <c r="R90">
        <v>1</v>
      </c>
      <c r="S90">
        <v>0</v>
      </c>
      <c r="T90">
        <v>1</v>
      </c>
      <c r="U90">
        <v>1</v>
      </c>
      <c r="V90" t="s">
        <v>23</v>
      </c>
      <c r="W90" t="s">
        <v>24</v>
      </c>
      <c r="X90" t="s">
        <v>28</v>
      </c>
      <c r="Y90">
        <v>0.79559999999999997</v>
      </c>
    </row>
    <row r="91" spans="1:25" x14ac:dyDescent="0.35">
      <c r="A91" s="2">
        <v>44434.637538935189</v>
      </c>
      <c r="B91" s="3">
        <v>19.100000000000001</v>
      </c>
      <c r="C91" s="3">
        <v>22.99</v>
      </c>
      <c r="D91" s="3">
        <v>20.81</v>
      </c>
      <c r="E91" s="3">
        <v>2.31</v>
      </c>
      <c r="F91" s="3">
        <v>56.12</v>
      </c>
      <c r="G91" s="3">
        <v>0.28999999999999998</v>
      </c>
      <c r="H91" s="3">
        <v>22.75</v>
      </c>
      <c r="I91">
        <v>1</v>
      </c>
      <c r="J91">
        <v>53</v>
      </c>
      <c r="K91">
        <v>190</v>
      </c>
      <c r="L91">
        <v>99</v>
      </c>
      <c r="M91">
        <v>1</v>
      </c>
      <c r="N91">
        <v>2</v>
      </c>
      <c r="O91">
        <v>2</v>
      </c>
      <c r="P91">
        <v>2</v>
      </c>
      <c r="Q91">
        <v>2</v>
      </c>
      <c r="R91">
        <v>1</v>
      </c>
      <c r="S91">
        <v>1</v>
      </c>
      <c r="T91">
        <v>0</v>
      </c>
      <c r="U91">
        <v>0</v>
      </c>
      <c r="V91" t="s">
        <v>21</v>
      </c>
      <c r="W91" t="s">
        <v>25</v>
      </c>
      <c r="X91" t="s">
        <v>29</v>
      </c>
      <c r="Y91">
        <v>0.46160000000000001</v>
      </c>
    </row>
    <row r="92" spans="1:25" x14ac:dyDescent="0.35">
      <c r="A92" s="2">
        <v>44434.639109166666</v>
      </c>
      <c r="B92" s="3">
        <v>19.2</v>
      </c>
      <c r="C92" s="3">
        <v>23.01</v>
      </c>
      <c r="D92" s="3">
        <v>21</v>
      </c>
      <c r="E92" s="3">
        <v>2.2200000000000002</v>
      </c>
      <c r="F92" s="3">
        <v>56</v>
      </c>
      <c r="G92" s="3">
        <v>0.28999999999999998</v>
      </c>
      <c r="H92" s="3">
        <v>22.75</v>
      </c>
      <c r="I92">
        <v>1</v>
      </c>
      <c r="J92">
        <v>28</v>
      </c>
      <c r="K92">
        <v>182</v>
      </c>
      <c r="L92">
        <v>98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21</v>
      </c>
      <c r="W92" t="s">
        <v>25</v>
      </c>
      <c r="X92" t="s">
        <v>30</v>
      </c>
      <c r="Y92">
        <v>0.76219999999999999</v>
      </c>
    </row>
    <row r="93" spans="1:25" x14ac:dyDescent="0.35">
      <c r="A93" s="2">
        <v>44434.639140474537</v>
      </c>
      <c r="B93" s="3">
        <v>19.2</v>
      </c>
      <c r="C93" s="3">
        <v>23.84</v>
      </c>
      <c r="D93" s="3">
        <v>22.81</v>
      </c>
      <c r="E93" s="3">
        <v>1.25</v>
      </c>
      <c r="F93" s="3">
        <v>54.05</v>
      </c>
      <c r="G93" s="3">
        <v>0.13</v>
      </c>
      <c r="H93" s="3">
        <v>23.87</v>
      </c>
      <c r="I93">
        <v>1</v>
      </c>
      <c r="J93">
        <v>64</v>
      </c>
      <c r="K93">
        <v>180</v>
      </c>
      <c r="L93">
        <v>105</v>
      </c>
      <c r="M93">
        <v>0</v>
      </c>
      <c r="N93">
        <v>1</v>
      </c>
      <c r="O93">
        <v>1</v>
      </c>
      <c r="P93">
        <v>2</v>
      </c>
      <c r="Q93">
        <v>1</v>
      </c>
      <c r="R93">
        <v>0</v>
      </c>
      <c r="S93">
        <v>0</v>
      </c>
      <c r="T93">
        <v>0</v>
      </c>
      <c r="U93">
        <v>0</v>
      </c>
      <c r="V93" t="s">
        <v>22</v>
      </c>
      <c r="W93" t="s">
        <v>25</v>
      </c>
      <c r="X93" t="s">
        <v>26</v>
      </c>
      <c r="Y93">
        <v>0.90415000000000001</v>
      </c>
    </row>
    <row r="94" spans="1:25" x14ac:dyDescent="0.35">
      <c r="A94" s="2">
        <v>44434.640568368057</v>
      </c>
      <c r="B94" s="3">
        <v>19.2</v>
      </c>
      <c r="C94" s="3">
        <v>23.86</v>
      </c>
      <c r="D94" s="3">
        <v>22.81</v>
      </c>
      <c r="E94" s="3">
        <v>1.25</v>
      </c>
      <c r="F94" s="3">
        <v>54.78</v>
      </c>
      <c r="G94" s="3">
        <v>0.11</v>
      </c>
      <c r="H94" s="3">
        <v>23.87</v>
      </c>
      <c r="I94">
        <v>1</v>
      </c>
      <c r="J94">
        <v>17</v>
      </c>
      <c r="K94">
        <v>189</v>
      </c>
      <c r="L94">
        <v>73</v>
      </c>
      <c r="M94">
        <v>1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 t="s">
        <v>22</v>
      </c>
      <c r="W94" t="s">
        <v>25</v>
      </c>
      <c r="X94" t="s">
        <v>29</v>
      </c>
      <c r="Y94">
        <v>0.46160000000000001</v>
      </c>
    </row>
    <row r="95" spans="1:25" x14ac:dyDescent="0.35">
      <c r="A95" s="2">
        <v>44434.641185763889</v>
      </c>
      <c r="B95" s="3">
        <v>18.899999999999999</v>
      </c>
      <c r="C95" s="3">
        <v>22.31</v>
      </c>
      <c r="D95" s="3">
        <v>21.62</v>
      </c>
      <c r="E95" s="3">
        <v>2.5499999999999998</v>
      </c>
      <c r="F95" s="3">
        <v>53.97</v>
      </c>
      <c r="G95" s="3">
        <v>0.28000000000000003</v>
      </c>
      <c r="H95" s="3">
        <v>22.13</v>
      </c>
      <c r="I95">
        <v>1</v>
      </c>
      <c r="J95">
        <v>17</v>
      </c>
      <c r="K95">
        <v>189</v>
      </c>
      <c r="L95">
        <v>84</v>
      </c>
      <c r="M95">
        <v>1</v>
      </c>
      <c r="N95">
        <v>1</v>
      </c>
      <c r="O95">
        <v>1</v>
      </c>
      <c r="P95">
        <v>2</v>
      </c>
      <c r="Q95">
        <v>2</v>
      </c>
      <c r="R95">
        <v>0</v>
      </c>
      <c r="S95">
        <v>0</v>
      </c>
      <c r="T95">
        <v>0</v>
      </c>
      <c r="U95">
        <v>0</v>
      </c>
      <c r="V95" t="s">
        <v>23</v>
      </c>
      <c r="W95" t="s">
        <v>25</v>
      </c>
      <c r="X95" t="s">
        <v>26</v>
      </c>
      <c r="Y95">
        <v>0.63695000000000002</v>
      </c>
    </row>
    <row r="96" spans="1:25" x14ac:dyDescent="0.35">
      <c r="A96" s="2">
        <v>44434.642003738423</v>
      </c>
      <c r="B96" s="3">
        <v>18.600000000000001</v>
      </c>
      <c r="C96" s="3">
        <v>22.36</v>
      </c>
      <c r="D96" s="3">
        <v>21.81</v>
      </c>
      <c r="E96" s="3">
        <v>2.83</v>
      </c>
      <c r="F96" s="3">
        <v>54.62</v>
      </c>
      <c r="G96" s="3">
        <v>0.32</v>
      </c>
      <c r="H96" s="3">
        <v>22.31</v>
      </c>
      <c r="I96">
        <v>0</v>
      </c>
      <c r="J96">
        <v>41</v>
      </c>
      <c r="K96">
        <v>164</v>
      </c>
      <c r="L96">
        <v>60</v>
      </c>
      <c r="M96">
        <v>2</v>
      </c>
      <c r="N96">
        <v>-1</v>
      </c>
      <c r="O96">
        <v>0</v>
      </c>
      <c r="P96">
        <v>-2</v>
      </c>
      <c r="Q96">
        <v>1</v>
      </c>
      <c r="R96">
        <v>0</v>
      </c>
      <c r="S96">
        <v>0</v>
      </c>
      <c r="T96">
        <v>1</v>
      </c>
      <c r="U96">
        <v>0</v>
      </c>
      <c r="V96" t="s">
        <v>23</v>
      </c>
      <c r="W96" t="s">
        <v>24</v>
      </c>
      <c r="X96" t="s">
        <v>29</v>
      </c>
      <c r="Y96">
        <v>0.76219999999999999</v>
      </c>
    </row>
    <row r="97" spans="1:25" x14ac:dyDescent="0.35">
      <c r="A97" s="2">
        <v>44434.642483738433</v>
      </c>
      <c r="B97" s="3">
        <v>18.600000000000001</v>
      </c>
      <c r="C97" s="3">
        <v>23.84</v>
      </c>
      <c r="D97" s="3">
        <v>22.94</v>
      </c>
      <c r="E97" s="3">
        <v>1.0900000000000001</v>
      </c>
      <c r="F97" s="3">
        <v>55.55</v>
      </c>
      <c r="G97" s="3">
        <v>0.14000000000000001</v>
      </c>
      <c r="H97" s="3">
        <v>23.81</v>
      </c>
      <c r="I97">
        <v>1</v>
      </c>
      <c r="J97">
        <v>43</v>
      </c>
      <c r="K97">
        <v>178</v>
      </c>
      <c r="L97">
        <v>84</v>
      </c>
      <c r="M97">
        <v>1</v>
      </c>
      <c r="N97">
        <v>1</v>
      </c>
      <c r="O97">
        <v>1</v>
      </c>
      <c r="P97">
        <v>2</v>
      </c>
      <c r="Q97">
        <v>-1</v>
      </c>
      <c r="R97">
        <v>0</v>
      </c>
      <c r="S97">
        <v>0</v>
      </c>
      <c r="T97">
        <v>0</v>
      </c>
      <c r="U97">
        <v>1</v>
      </c>
      <c r="V97" t="s">
        <v>22</v>
      </c>
      <c r="W97" t="s">
        <v>24</v>
      </c>
      <c r="X97" t="s">
        <v>29</v>
      </c>
      <c r="Y97">
        <v>0.67035000000000011</v>
      </c>
    </row>
    <row r="98" spans="1:25" x14ac:dyDescent="0.35">
      <c r="A98" s="2">
        <v>44434.644565023147</v>
      </c>
      <c r="B98" s="3">
        <v>17.91</v>
      </c>
      <c r="C98" s="3">
        <v>23.8</v>
      </c>
      <c r="D98" s="3">
        <v>22.94</v>
      </c>
      <c r="E98" s="3">
        <v>1.03</v>
      </c>
      <c r="F98" s="3">
        <v>55.99</v>
      </c>
      <c r="G98" s="3">
        <v>0.14000000000000001</v>
      </c>
      <c r="H98" s="3">
        <v>23.87</v>
      </c>
      <c r="I98">
        <v>1</v>
      </c>
      <c r="J98">
        <v>39</v>
      </c>
      <c r="K98">
        <v>188</v>
      </c>
      <c r="L98">
        <v>79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t="s">
        <v>22</v>
      </c>
      <c r="W98" t="s">
        <v>25</v>
      </c>
      <c r="X98" t="s">
        <v>26</v>
      </c>
      <c r="Y98">
        <v>0.60355000000000003</v>
      </c>
    </row>
    <row r="99" spans="1:25" x14ac:dyDescent="0.35">
      <c r="A99" s="2">
        <v>44434.646298993059</v>
      </c>
      <c r="B99" s="3">
        <v>17.8</v>
      </c>
      <c r="C99" s="3">
        <v>22.11</v>
      </c>
      <c r="D99" s="3">
        <v>21.75</v>
      </c>
      <c r="E99" s="3">
        <v>2.92</v>
      </c>
      <c r="F99" s="3">
        <v>55.71</v>
      </c>
      <c r="G99" s="3">
        <v>0.36</v>
      </c>
      <c r="H99" s="3">
        <v>22.25</v>
      </c>
      <c r="I99">
        <v>0</v>
      </c>
      <c r="J99">
        <v>25</v>
      </c>
      <c r="K99">
        <v>150</v>
      </c>
      <c r="L99">
        <v>44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 t="s">
        <v>23</v>
      </c>
      <c r="W99" t="s">
        <v>25</v>
      </c>
      <c r="X99" t="s">
        <v>27</v>
      </c>
      <c r="Y99">
        <v>0.7288</v>
      </c>
    </row>
    <row r="100" spans="1:25" x14ac:dyDescent="0.35">
      <c r="A100" s="2">
        <v>44434.64836324074</v>
      </c>
      <c r="B100" s="3">
        <v>18</v>
      </c>
      <c r="C100" s="3">
        <v>22.7</v>
      </c>
      <c r="D100" s="3">
        <v>21.56</v>
      </c>
      <c r="E100" s="3">
        <v>1.81</v>
      </c>
      <c r="F100" s="3">
        <v>52.5</v>
      </c>
      <c r="G100" s="3">
        <v>0.13</v>
      </c>
      <c r="H100" s="3">
        <v>23.25</v>
      </c>
      <c r="I100">
        <v>1</v>
      </c>
      <c r="J100">
        <v>25</v>
      </c>
      <c r="K100">
        <v>165</v>
      </c>
      <c r="L100">
        <v>45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 t="s">
        <v>18</v>
      </c>
      <c r="W100" t="s">
        <v>24</v>
      </c>
      <c r="X100" t="s">
        <v>27</v>
      </c>
      <c r="Y100">
        <v>0.85405000000000009</v>
      </c>
    </row>
    <row r="101" spans="1:25" x14ac:dyDescent="0.35">
      <c r="A101" s="2">
        <v>44434.648821620372</v>
      </c>
      <c r="B101" s="3">
        <v>18</v>
      </c>
      <c r="C101" s="3">
        <v>23.7</v>
      </c>
      <c r="D101" s="3">
        <v>22.87</v>
      </c>
      <c r="E101" s="3">
        <v>1.1499999999999999</v>
      </c>
      <c r="F101" s="3">
        <v>56.31</v>
      </c>
      <c r="G101" s="3">
        <v>0.12</v>
      </c>
      <c r="H101" s="3">
        <v>23.87</v>
      </c>
      <c r="I101">
        <v>0</v>
      </c>
      <c r="J101">
        <v>44</v>
      </c>
      <c r="K101">
        <v>173</v>
      </c>
      <c r="L101">
        <v>85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 t="s">
        <v>22</v>
      </c>
      <c r="W101" t="s">
        <v>24</v>
      </c>
      <c r="X101" t="s">
        <v>26</v>
      </c>
      <c r="Y101">
        <v>0.75385000000000002</v>
      </c>
    </row>
    <row r="102" spans="1:25" x14ac:dyDescent="0.35">
      <c r="A102" s="2">
        <v>44434.649310266213</v>
      </c>
      <c r="B102" s="3">
        <v>18.100000000000001</v>
      </c>
      <c r="C102" s="3">
        <v>21.89</v>
      </c>
      <c r="D102" s="3">
        <v>21.5</v>
      </c>
      <c r="E102" s="3">
        <v>2.79</v>
      </c>
      <c r="F102" s="3">
        <v>55.93</v>
      </c>
      <c r="G102" s="3">
        <v>0.28999999999999998</v>
      </c>
      <c r="H102" s="3">
        <v>21.87</v>
      </c>
      <c r="I102">
        <v>1</v>
      </c>
      <c r="J102">
        <v>20</v>
      </c>
      <c r="K102">
        <v>180</v>
      </c>
      <c r="L102">
        <v>85</v>
      </c>
      <c r="M102">
        <v>1</v>
      </c>
      <c r="N102">
        <v>-3</v>
      </c>
      <c r="O102">
        <v>-3</v>
      </c>
      <c r="P102">
        <v>-3</v>
      </c>
      <c r="Q102">
        <v>-3</v>
      </c>
      <c r="R102">
        <v>0</v>
      </c>
      <c r="S102">
        <v>0</v>
      </c>
      <c r="T102">
        <v>0</v>
      </c>
      <c r="U102">
        <v>0</v>
      </c>
      <c r="V102" t="s">
        <v>23</v>
      </c>
      <c r="W102" t="s">
        <v>24</v>
      </c>
      <c r="X102" t="s">
        <v>26</v>
      </c>
      <c r="Y102">
        <v>0.87909999999999999</v>
      </c>
    </row>
    <row r="103" spans="1:25" x14ac:dyDescent="0.35">
      <c r="A103" s="2">
        <v>44434.661111111112</v>
      </c>
      <c r="B103" s="3">
        <v>17.7</v>
      </c>
      <c r="C103" s="3">
        <v>21.91</v>
      </c>
      <c r="D103" s="3">
        <v>20.69</v>
      </c>
      <c r="E103" s="3">
        <v>1.94</v>
      </c>
      <c r="F103" s="3">
        <v>57.59</v>
      </c>
      <c r="G103" s="3">
        <v>0.23</v>
      </c>
      <c r="H103" s="3">
        <v>21.75</v>
      </c>
      <c r="I103">
        <v>0</v>
      </c>
      <c r="J103">
        <v>85</v>
      </c>
      <c r="K103">
        <v>185</v>
      </c>
      <c r="L103">
        <v>76</v>
      </c>
      <c r="M103">
        <v>-1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23</v>
      </c>
      <c r="W103" t="s">
        <v>25</v>
      </c>
      <c r="X103" t="s">
        <v>26</v>
      </c>
      <c r="Y103">
        <v>0.77054999999999996</v>
      </c>
    </row>
    <row r="104" spans="1:25" x14ac:dyDescent="0.35">
      <c r="A104" s="2">
        <v>44434.662900370371</v>
      </c>
      <c r="B104" s="3">
        <v>17.600000000000001</v>
      </c>
      <c r="C104" s="3">
        <f>(24.01+23.48)/2</f>
        <v>23.745000000000001</v>
      </c>
      <c r="D104" s="3">
        <f>(23.56+23.62)/2</f>
        <v>23.59</v>
      </c>
      <c r="E104" s="3">
        <f>(0.63+1.67)/2</f>
        <v>1.1499999999999999</v>
      </c>
      <c r="F104" s="3">
        <f>(51.28)</f>
        <v>51.28</v>
      </c>
      <c r="G104" s="3">
        <v>0.26</v>
      </c>
      <c r="H104" s="3">
        <f>(23.56+24.37)/2</f>
        <v>23.965</v>
      </c>
      <c r="I104">
        <v>1</v>
      </c>
      <c r="J104">
        <v>47</v>
      </c>
      <c r="K104">
        <v>182</v>
      </c>
      <c r="L104">
        <v>84</v>
      </c>
      <c r="M104">
        <v>1</v>
      </c>
      <c r="N104">
        <v>-1</v>
      </c>
      <c r="O104">
        <v>-1</v>
      </c>
      <c r="P104">
        <v>-1</v>
      </c>
      <c r="Q104">
        <v>-1</v>
      </c>
      <c r="R104">
        <v>0</v>
      </c>
      <c r="S104">
        <v>0</v>
      </c>
      <c r="T104">
        <v>0</v>
      </c>
      <c r="U104">
        <v>0</v>
      </c>
      <c r="V104" t="s">
        <v>20</v>
      </c>
      <c r="W104" t="s">
        <v>24</v>
      </c>
      <c r="X104" t="s">
        <v>26</v>
      </c>
      <c r="Y104">
        <v>0.90415000000000001</v>
      </c>
    </row>
    <row r="105" spans="1:25" x14ac:dyDescent="0.35">
      <c r="A105" s="2">
        <v>44434.665972222218</v>
      </c>
      <c r="B105" s="3">
        <v>17.7</v>
      </c>
      <c r="C105" s="3">
        <f>(23.46+24.19)/2</f>
        <v>23.825000000000003</v>
      </c>
      <c r="D105" s="3">
        <f>(23.62+23.75)/2</f>
        <v>23.685000000000002</v>
      </c>
      <c r="E105" s="3">
        <f>(2.03+0.66)/2</f>
        <v>1.345</v>
      </c>
      <c r="F105" s="3">
        <f>(50.91+49.84)/2</f>
        <v>50.375</v>
      </c>
      <c r="G105" s="3">
        <f>(0.2+0.29)/2</f>
        <v>0.245</v>
      </c>
      <c r="H105" s="3">
        <f>(24.44+23.19)/2</f>
        <v>23.815000000000001</v>
      </c>
      <c r="I105">
        <v>0</v>
      </c>
      <c r="J105">
        <v>81</v>
      </c>
      <c r="K105">
        <v>155</v>
      </c>
      <c r="L105">
        <v>59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 t="s">
        <v>20</v>
      </c>
      <c r="W105" t="s">
        <v>25</v>
      </c>
      <c r="X105" t="s">
        <v>29</v>
      </c>
      <c r="Y105">
        <v>0.96260000000000001</v>
      </c>
    </row>
    <row r="106" spans="1:25" x14ac:dyDescent="0.35">
      <c r="A106" s="2">
        <v>44434.666351435182</v>
      </c>
      <c r="B106" s="3">
        <v>17.7</v>
      </c>
      <c r="C106" s="3">
        <f>(23.48+24.2)/2</f>
        <v>23.84</v>
      </c>
      <c r="D106" s="3">
        <v>23.75</v>
      </c>
      <c r="E106" s="3">
        <f>(0.7+2.22)/2</f>
        <v>1.46</v>
      </c>
      <c r="F106" s="3">
        <f>(50.84+50.23)/2</f>
        <v>50.534999999999997</v>
      </c>
      <c r="G106" s="3">
        <f>(0.15+0.25)/2</f>
        <v>0.2</v>
      </c>
      <c r="H106" s="3">
        <f>(24.5+23.12)/2</f>
        <v>23.810000000000002</v>
      </c>
      <c r="I106">
        <v>0</v>
      </c>
      <c r="J106">
        <v>18</v>
      </c>
      <c r="K106">
        <v>163</v>
      </c>
      <c r="L106">
        <v>57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1</v>
      </c>
      <c r="V106" t="s">
        <v>20</v>
      </c>
      <c r="W106" t="s">
        <v>25</v>
      </c>
      <c r="X106" t="s">
        <v>26</v>
      </c>
      <c r="Y106">
        <v>0.51169999999999993</v>
      </c>
    </row>
    <row r="107" spans="1:25" x14ac:dyDescent="0.35">
      <c r="A107" s="2">
        <v>44434.667032094912</v>
      </c>
      <c r="B107" s="3">
        <v>17.8</v>
      </c>
      <c r="C107" s="3">
        <v>22.09</v>
      </c>
      <c r="D107" s="3">
        <v>21.56</v>
      </c>
      <c r="E107" s="3">
        <v>2.1800000000000002</v>
      </c>
      <c r="F107" s="3">
        <v>58.36</v>
      </c>
      <c r="G107" s="3">
        <v>0.39</v>
      </c>
      <c r="H107" s="3">
        <v>22.31</v>
      </c>
      <c r="I107">
        <v>0</v>
      </c>
      <c r="J107">
        <v>63</v>
      </c>
      <c r="K107">
        <v>176</v>
      </c>
      <c r="L107">
        <v>62</v>
      </c>
      <c r="M107">
        <v>1</v>
      </c>
      <c r="N107">
        <v>2</v>
      </c>
      <c r="O107">
        <v>2</v>
      </c>
      <c r="P107">
        <v>2</v>
      </c>
      <c r="Q107">
        <v>2</v>
      </c>
      <c r="R107">
        <v>1</v>
      </c>
      <c r="S107">
        <v>1</v>
      </c>
      <c r="T107">
        <v>1</v>
      </c>
      <c r="U107">
        <v>1</v>
      </c>
      <c r="V107" t="s">
        <v>23</v>
      </c>
      <c r="W107" t="s">
        <v>25</v>
      </c>
      <c r="X107" t="s">
        <v>26</v>
      </c>
      <c r="Y107">
        <v>1.1295999999999999</v>
      </c>
    </row>
    <row r="108" spans="1:25" x14ac:dyDescent="0.35">
      <c r="A108" s="2">
        <v>44434.667456134259</v>
      </c>
      <c r="B108" s="3">
        <v>17.8</v>
      </c>
      <c r="C108" s="3">
        <v>22.31</v>
      </c>
      <c r="D108" s="3">
        <v>21.5</v>
      </c>
      <c r="E108" s="3">
        <v>1.81</v>
      </c>
      <c r="F108" s="3">
        <v>54.79</v>
      </c>
      <c r="G108" s="3">
        <v>0.11</v>
      </c>
      <c r="H108" s="3">
        <v>22.75</v>
      </c>
      <c r="I108">
        <v>0</v>
      </c>
      <c r="J108">
        <v>57</v>
      </c>
      <c r="K108">
        <v>167</v>
      </c>
      <c r="L108">
        <v>68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18</v>
      </c>
      <c r="W108" t="s">
        <v>24</v>
      </c>
      <c r="X108" t="s">
        <v>26</v>
      </c>
      <c r="Y108">
        <v>0.55345</v>
      </c>
    </row>
    <row r="109" spans="1:25" x14ac:dyDescent="0.35">
      <c r="A109" s="2">
        <v>44434.667478553238</v>
      </c>
      <c r="B109" s="3">
        <v>17.8</v>
      </c>
      <c r="C109" s="3">
        <v>22.06</v>
      </c>
      <c r="D109" s="3">
        <v>21.56</v>
      </c>
      <c r="E109" s="3">
        <v>2.27</v>
      </c>
      <c r="F109" s="3">
        <v>58.19</v>
      </c>
      <c r="G109" s="3">
        <v>0.28000000000000003</v>
      </c>
      <c r="H109" s="3">
        <v>22.31</v>
      </c>
      <c r="I109">
        <v>1</v>
      </c>
      <c r="J109">
        <v>26</v>
      </c>
      <c r="K109">
        <v>176</v>
      </c>
      <c r="L109">
        <v>84</v>
      </c>
      <c r="M109">
        <v>1</v>
      </c>
      <c r="N109">
        <v>1</v>
      </c>
      <c r="O109">
        <v>2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 t="s">
        <v>23</v>
      </c>
      <c r="W109" t="s">
        <v>25</v>
      </c>
      <c r="X109" t="s">
        <v>28</v>
      </c>
      <c r="Y109">
        <v>0.6119</v>
      </c>
    </row>
    <row r="110" spans="1:25" x14ac:dyDescent="0.35">
      <c r="A110" s="2">
        <v>44434.669579247682</v>
      </c>
      <c r="B110" s="3">
        <v>18.100000000000001</v>
      </c>
      <c r="C110" s="3">
        <v>22.44</v>
      </c>
      <c r="D110" s="3">
        <v>20.62</v>
      </c>
      <c r="E110" s="3">
        <v>1.99</v>
      </c>
      <c r="F110" s="3">
        <v>57.58</v>
      </c>
      <c r="G110" s="3">
        <v>0.28999999999999998</v>
      </c>
      <c r="H110" s="3">
        <v>22.62</v>
      </c>
      <c r="I110">
        <v>1</v>
      </c>
      <c r="J110">
        <v>15</v>
      </c>
      <c r="K110">
        <v>195</v>
      </c>
      <c r="L110">
        <v>60</v>
      </c>
      <c r="M110">
        <v>1</v>
      </c>
      <c r="N110">
        <v>-1</v>
      </c>
      <c r="O110">
        <v>-1</v>
      </c>
      <c r="P110">
        <v>-1</v>
      </c>
      <c r="Q110">
        <v>-1</v>
      </c>
      <c r="R110">
        <v>0</v>
      </c>
      <c r="S110">
        <v>0</v>
      </c>
      <c r="T110">
        <v>0</v>
      </c>
      <c r="U110">
        <v>0</v>
      </c>
      <c r="V110" t="s">
        <v>21</v>
      </c>
      <c r="W110" t="s">
        <v>24</v>
      </c>
      <c r="X110" t="s">
        <v>26</v>
      </c>
      <c r="Y110">
        <v>0.58684999999999998</v>
      </c>
    </row>
    <row r="111" spans="1:25" x14ac:dyDescent="0.35">
      <c r="A111" s="2">
        <v>44434.669613472222</v>
      </c>
      <c r="B111" s="3">
        <v>18.100000000000001</v>
      </c>
      <c r="C111" s="3">
        <v>23.17</v>
      </c>
      <c r="D111" s="3">
        <v>22.19</v>
      </c>
      <c r="E111" s="3">
        <v>1.52</v>
      </c>
      <c r="F111" s="3">
        <v>59.67</v>
      </c>
      <c r="G111" s="3">
        <v>0.1</v>
      </c>
      <c r="H111" s="3">
        <v>23.19</v>
      </c>
      <c r="I111">
        <v>1</v>
      </c>
      <c r="J111">
        <v>15</v>
      </c>
      <c r="K111">
        <v>178</v>
      </c>
      <c r="L111">
        <v>60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1</v>
      </c>
      <c r="S111">
        <v>1</v>
      </c>
      <c r="T111">
        <v>1</v>
      </c>
      <c r="U111">
        <v>0</v>
      </c>
      <c r="V111" t="s">
        <v>22</v>
      </c>
      <c r="W111" t="s">
        <v>25</v>
      </c>
      <c r="X111" t="s">
        <v>26</v>
      </c>
      <c r="Y111">
        <v>0.76219999999999999</v>
      </c>
    </row>
    <row r="112" spans="1:25" x14ac:dyDescent="0.35">
      <c r="A112" s="2">
        <v>44434.671166018517</v>
      </c>
      <c r="B112" s="3">
        <v>18.3</v>
      </c>
      <c r="C112" s="3">
        <v>22.39</v>
      </c>
      <c r="D112" s="3">
        <v>21.56</v>
      </c>
      <c r="E112" s="3">
        <v>1.71</v>
      </c>
      <c r="F112" s="3">
        <v>54.95</v>
      </c>
      <c r="G112" s="3">
        <v>0.08</v>
      </c>
      <c r="H112" s="3">
        <v>22.75</v>
      </c>
      <c r="I112">
        <v>0</v>
      </c>
      <c r="J112">
        <v>19</v>
      </c>
      <c r="K112">
        <v>167</v>
      </c>
      <c r="L112">
        <v>55</v>
      </c>
      <c r="M112">
        <v>0</v>
      </c>
      <c r="N112">
        <v>2</v>
      </c>
      <c r="O112">
        <v>1</v>
      </c>
      <c r="P112">
        <v>1</v>
      </c>
      <c r="Q112">
        <v>2</v>
      </c>
      <c r="R112">
        <v>0</v>
      </c>
      <c r="S112">
        <v>0</v>
      </c>
      <c r="T112">
        <v>0</v>
      </c>
      <c r="U112">
        <v>0</v>
      </c>
      <c r="V112" t="s">
        <v>18</v>
      </c>
      <c r="W112" t="s">
        <v>25</v>
      </c>
      <c r="X112" t="s">
        <v>30</v>
      </c>
      <c r="Y112">
        <v>1.1880500000000001</v>
      </c>
    </row>
    <row r="113" spans="1:25" x14ac:dyDescent="0.35">
      <c r="A113" s="2">
        <v>44434.671743541658</v>
      </c>
      <c r="B113" s="3">
        <v>18.3</v>
      </c>
      <c r="C113" s="3">
        <v>22.54</v>
      </c>
      <c r="D113" s="3">
        <v>20.56</v>
      </c>
      <c r="E113" s="3">
        <v>2.11</v>
      </c>
      <c r="F113" s="3">
        <v>57.65</v>
      </c>
      <c r="G113" s="3">
        <v>0.33</v>
      </c>
      <c r="H113" s="3">
        <v>22.69</v>
      </c>
      <c r="I113">
        <v>1</v>
      </c>
      <c r="J113">
        <v>21</v>
      </c>
      <c r="K113">
        <v>184</v>
      </c>
      <c r="L113">
        <v>80</v>
      </c>
      <c r="M113">
        <v>2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 t="s">
        <v>21</v>
      </c>
      <c r="W113" t="s">
        <v>24</v>
      </c>
      <c r="X113" t="s">
        <v>29</v>
      </c>
      <c r="Y113">
        <v>0.87909999999999999</v>
      </c>
    </row>
    <row r="114" spans="1:25" x14ac:dyDescent="0.35">
      <c r="A114" s="2">
        <v>44434.673611111109</v>
      </c>
      <c r="B114" s="3">
        <v>18.399999999999999</v>
      </c>
      <c r="C114" s="3">
        <v>21.98</v>
      </c>
      <c r="D114" s="3">
        <v>21.62</v>
      </c>
      <c r="E114" s="3">
        <v>2.78</v>
      </c>
      <c r="F114" s="3">
        <v>57.36</v>
      </c>
      <c r="G114" s="3">
        <v>0.26</v>
      </c>
      <c r="H114" s="3">
        <v>22.13</v>
      </c>
      <c r="I114">
        <v>1</v>
      </c>
      <c r="J114">
        <v>47</v>
      </c>
      <c r="K114">
        <v>185</v>
      </c>
      <c r="L114">
        <v>86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23</v>
      </c>
      <c r="W114" t="s">
        <v>24</v>
      </c>
      <c r="X114" t="s">
        <v>26</v>
      </c>
      <c r="Y114">
        <v>0.46160000000000001</v>
      </c>
    </row>
    <row r="115" spans="1:25" x14ac:dyDescent="0.35">
      <c r="A115" s="2">
        <v>44434.675719861109</v>
      </c>
      <c r="B115" s="3">
        <v>18.399999999999999</v>
      </c>
      <c r="C115" s="3">
        <v>22.56</v>
      </c>
      <c r="D115" s="3">
        <v>20.69</v>
      </c>
      <c r="E115" s="3">
        <v>1.95</v>
      </c>
      <c r="F115" s="3">
        <v>57.29</v>
      </c>
      <c r="G115" s="3">
        <v>0.28999999999999998</v>
      </c>
      <c r="H115" s="3">
        <v>22.75</v>
      </c>
      <c r="I115">
        <v>0</v>
      </c>
      <c r="J115">
        <v>33</v>
      </c>
      <c r="K115">
        <v>172</v>
      </c>
      <c r="L115">
        <v>70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21</v>
      </c>
      <c r="W115" t="s">
        <v>24</v>
      </c>
      <c r="X115" t="s">
        <v>27</v>
      </c>
      <c r="Y115">
        <v>0.67035000000000011</v>
      </c>
    </row>
    <row r="116" spans="1:25" x14ac:dyDescent="0.35">
      <c r="A116" s="2">
        <v>44434.68472222222</v>
      </c>
      <c r="B116" s="3">
        <v>18.100000000000001</v>
      </c>
      <c r="C116" s="3">
        <f>(23.87+23.47)/2</f>
        <v>23.67</v>
      </c>
      <c r="D116" s="3">
        <f>(23.69+23.5)/2</f>
        <v>23.594999999999999</v>
      </c>
      <c r="E116" s="3">
        <f>(1.99+0.86)/2</f>
        <v>1.425</v>
      </c>
      <c r="F116" s="3">
        <f>(47.93+48.8)/2</f>
        <v>48.364999999999995</v>
      </c>
      <c r="G116" s="3">
        <f>(0.1+0.41)/2</f>
        <v>0.255</v>
      </c>
      <c r="H116" s="3">
        <f>(23.12+24.5)/2</f>
        <v>23.810000000000002</v>
      </c>
      <c r="I116">
        <v>1</v>
      </c>
      <c r="J116">
        <v>18</v>
      </c>
      <c r="K116">
        <v>200</v>
      </c>
      <c r="L116">
        <v>100</v>
      </c>
      <c r="M116">
        <v>1</v>
      </c>
      <c r="N116">
        <v>2</v>
      </c>
      <c r="O116">
        <v>0</v>
      </c>
      <c r="P116">
        <v>-1</v>
      </c>
      <c r="Q116">
        <v>0</v>
      </c>
      <c r="R116">
        <v>1</v>
      </c>
      <c r="S116">
        <v>0</v>
      </c>
      <c r="T116">
        <v>0</v>
      </c>
      <c r="U116">
        <v>0</v>
      </c>
      <c r="V116" t="s">
        <v>20</v>
      </c>
      <c r="W116" t="s">
        <v>25</v>
      </c>
      <c r="X116" t="s">
        <v>26</v>
      </c>
      <c r="Y116">
        <v>0.96260000000000001</v>
      </c>
    </row>
    <row r="117" spans="1:25" x14ac:dyDescent="0.35">
      <c r="A117" s="2">
        <v>44434.685376956018</v>
      </c>
      <c r="B117" s="3">
        <v>18.100000000000001</v>
      </c>
      <c r="C117" s="3">
        <v>22.58</v>
      </c>
      <c r="D117" s="3">
        <v>21.5</v>
      </c>
      <c r="E117" s="3">
        <v>1.44</v>
      </c>
      <c r="F117" s="3">
        <v>53.73</v>
      </c>
      <c r="G117" s="3">
        <v>0.15</v>
      </c>
      <c r="H117" s="3">
        <v>22.69</v>
      </c>
      <c r="I117">
        <v>1</v>
      </c>
      <c r="J117">
        <v>34</v>
      </c>
      <c r="K117">
        <v>182</v>
      </c>
      <c r="L117">
        <v>80</v>
      </c>
      <c r="M117">
        <v>1</v>
      </c>
      <c r="N117">
        <v>1</v>
      </c>
      <c r="O117">
        <v>1</v>
      </c>
      <c r="P117">
        <v>0</v>
      </c>
      <c r="Q117">
        <v>2</v>
      </c>
      <c r="R117">
        <v>0</v>
      </c>
      <c r="S117">
        <v>0</v>
      </c>
      <c r="T117">
        <v>0</v>
      </c>
      <c r="U117">
        <v>0</v>
      </c>
      <c r="V117" t="s">
        <v>18</v>
      </c>
      <c r="W117" t="s">
        <v>24</v>
      </c>
      <c r="X117" t="s">
        <v>26</v>
      </c>
      <c r="Y117">
        <v>0.80395000000000005</v>
      </c>
    </row>
    <row r="118" spans="1:25" x14ac:dyDescent="0.35">
      <c r="A118" s="2">
        <v>44434.686111111107</v>
      </c>
      <c r="B118" s="3">
        <v>18.100000000000001</v>
      </c>
      <c r="C118" s="3">
        <v>22.6</v>
      </c>
      <c r="D118" s="3">
        <v>21.44</v>
      </c>
      <c r="E118" s="3">
        <v>1.48</v>
      </c>
      <c r="F118" s="3">
        <v>53.66</v>
      </c>
      <c r="G118" s="3">
        <v>0.1</v>
      </c>
      <c r="H118" s="3">
        <v>22.75</v>
      </c>
      <c r="I118">
        <v>1</v>
      </c>
      <c r="J118">
        <v>43</v>
      </c>
      <c r="K118">
        <v>176</v>
      </c>
      <c r="L118">
        <v>95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18</v>
      </c>
      <c r="W118" t="s">
        <v>24</v>
      </c>
      <c r="X118" t="s">
        <v>26</v>
      </c>
      <c r="Y118">
        <v>0.85405000000000009</v>
      </c>
    </row>
    <row r="119" spans="1:25" x14ac:dyDescent="0.35">
      <c r="A119" s="2">
        <v>44434.709010844897</v>
      </c>
      <c r="B119" s="3">
        <v>17.100000000000001</v>
      </c>
      <c r="C119" s="3">
        <f>(22.27+21.81)/2</f>
        <v>22.04</v>
      </c>
      <c r="D119" s="3">
        <f>(22.13+21.31)/2</f>
        <v>21.72</v>
      </c>
      <c r="E119" s="3">
        <f>(1.09+1.76)/2</f>
        <v>1.425</v>
      </c>
      <c r="F119" s="3">
        <f>(55.19+51.82)/2</f>
        <v>53.504999999999995</v>
      </c>
      <c r="G119" s="3">
        <f>(0.1+0.29)/2</f>
        <v>0.19500000000000001</v>
      </c>
      <c r="H119" s="3">
        <f>(22.5+23.25)/2</f>
        <v>22.875</v>
      </c>
      <c r="I119">
        <v>1</v>
      </c>
      <c r="J119">
        <v>35</v>
      </c>
      <c r="K119">
        <v>175</v>
      </c>
      <c r="L119">
        <v>65</v>
      </c>
      <c r="M119">
        <v>0</v>
      </c>
      <c r="N119">
        <v>-2</v>
      </c>
      <c r="O119">
        <v>0</v>
      </c>
      <c r="P119">
        <v>-2</v>
      </c>
      <c r="Q119">
        <v>-3</v>
      </c>
      <c r="R119">
        <v>1</v>
      </c>
      <c r="S119">
        <v>1</v>
      </c>
      <c r="T119">
        <v>0</v>
      </c>
      <c r="U119">
        <v>2</v>
      </c>
      <c r="V119" t="s">
        <v>20</v>
      </c>
      <c r="X119" t="s">
        <v>27</v>
      </c>
      <c r="Y119">
        <v>0.66200000000000003</v>
      </c>
    </row>
    <row r="120" spans="1:25" x14ac:dyDescent="0.35">
      <c r="A120" s="2">
        <v>44434.710416666669</v>
      </c>
      <c r="B120" s="3">
        <v>16.600000000000001</v>
      </c>
      <c r="C120" s="3">
        <v>20.58</v>
      </c>
      <c r="D120" s="3">
        <v>19.440000000000001</v>
      </c>
      <c r="E120" s="3">
        <v>1.48</v>
      </c>
      <c r="F120" s="3">
        <v>63.02</v>
      </c>
      <c r="G120" s="3">
        <v>0.22</v>
      </c>
      <c r="H120" s="3">
        <v>20.62</v>
      </c>
      <c r="I120">
        <v>1</v>
      </c>
      <c r="J120">
        <v>38</v>
      </c>
      <c r="K120">
        <v>186</v>
      </c>
      <c r="L120">
        <v>78</v>
      </c>
      <c r="M120">
        <v>1</v>
      </c>
      <c r="N120">
        <v>-2</v>
      </c>
      <c r="O120">
        <v>-1</v>
      </c>
      <c r="P120">
        <v>-3</v>
      </c>
      <c r="Q120">
        <v>-3</v>
      </c>
      <c r="R120">
        <v>0</v>
      </c>
      <c r="S120">
        <v>0</v>
      </c>
      <c r="T120">
        <v>0</v>
      </c>
      <c r="U120">
        <v>0</v>
      </c>
      <c r="V120" t="s">
        <v>23</v>
      </c>
      <c r="W120" t="s">
        <v>25</v>
      </c>
      <c r="X120" t="s">
        <v>26</v>
      </c>
      <c r="Y120">
        <v>1.1880500000000001</v>
      </c>
    </row>
    <row r="121" spans="1:25" x14ac:dyDescent="0.35">
      <c r="A121" s="2">
        <v>44434.712728726852</v>
      </c>
      <c r="B121" s="3">
        <v>16.41</v>
      </c>
      <c r="C121" s="3">
        <f>(22.03+21.84)/2</f>
        <v>21.935000000000002</v>
      </c>
      <c r="D121" s="3">
        <f>(22.06+21.25)/2</f>
        <v>21.655000000000001</v>
      </c>
      <c r="E121" s="3">
        <f>(2.45+1.13)/2</f>
        <v>1.79</v>
      </c>
      <c r="F121" s="3">
        <f>(56.75+53.27)/2</f>
        <v>55.010000000000005</v>
      </c>
      <c r="G121" s="3">
        <f>(0.23+0.12)/2</f>
        <v>0.17499999999999999</v>
      </c>
      <c r="H121" s="3">
        <f>(21.94+22.56)/2</f>
        <v>22.25</v>
      </c>
      <c r="I121">
        <v>1</v>
      </c>
      <c r="J121">
        <v>26</v>
      </c>
      <c r="K121">
        <v>178</v>
      </c>
      <c r="L121">
        <v>65</v>
      </c>
      <c r="M121">
        <v>1</v>
      </c>
      <c r="N121">
        <v>0</v>
      </c>
      <c r="O121">
        <v>-1</v>
      </c>
      <c r="P121">
        <v>0</v>
      </c>
      <c r="Q121">
        <v>-1</v>
      </c>
      <c r="R121">
        <v>0</v>
      </c>
      <c r="S121">
        <v>0</v>
      </c>
      <c r="T121">
        <v>0</v>
      </c>
      <c r="U121">
        <v>0</v>
      </c>
      <c r="V121" t="s">
        <v>20</v>
      </c>
      <c r="W121" t="s">
        <v>24</v>
      </c>
      <c r="X121" t="s">
        <v>26</v>
      </c>
      <c r="Y121">
        <v>1.1045499999999999</v>
      </c>
    </row>
    <row r="122" spans="1:25" x14ac:dyDescent="0.35">
      <c r="A122" s="2">
        <v>44434.71412665509</v>
      </c>
      <c r="B122" s="3">
        <v>16.100000000000001</v>
      </c>
      <c r="C122" s="3">
        <v>20.66</v>
      </c>
      <c r="D122" s="3">
        <v>19.5</v>
      </c>
      <c r="E122" s="3">
        <v>1.8</v>
      </c>
      <c r="F122" s="3">
        <v>61.64</v>
      </c>
      <c r="G122" s="3">
        <v>0.06</v>
      </c>
      <c r="H122" s="3">
        <v>21.25</v>
      </c>
      <c r="I122">
        <v>1</v>
      </c>
      <c r="J122">
        <v>27</v>
      </c>
      <c r="K122">
        <v>171</v>
      </c>
      <c r="L122">
        <v>55</v>
      </c>
      <c r="M122">
        <v>0</v>
      </c>
      <c r="N122">
        <v>-1</v>
      </c>
      <c r="O122">
        <v>-2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1</v>
      </c>
      <c r="V122" t="s">
        <v>18</v>
      </c>
      <c r="W122" t="s">
        <v>25</v>
      </c>
      <c r="X122" t="s">
        <v>26</v>
      </c>
      <c r="Y122">
        <v>0.88744999999999996</v>
      </c>
    </row>
    <row r="123" spans="1:25" x14ac:dyDescent="0.35">
      <c r="A123" s="2">
        <v>44434.715503518521</v>
      </c>
      <c r="B123" s="3">
        <v>15.3</v>
      </c>
      <c r="C123" s="3">
        <v>20.8</v>
      </c>
      <c r="D123" s="3">
        <v>20</v>
      </c>
      <c r="E123" s="3">
        <v>1.52</v>
      </c>
      <c r="F123" s="3">
        <v>68.930000000000007</v>
      </c>
      <c r="G123" s="3">
        <v>0.09</v>
      </c>
      <c r="H123" s="3">
        <v>21</v>
      </c>
      <c r="I123">
        <v>0</v>
      </c>
      <c r="J123">
        <v>25</v>
      </c>
      <c r="K123">
        <v>158</v>
      </c>
      <c r="L123">
        <v>45</v>
      </c>
      <c r="M123">
        <v>1</v>
      </c>
      <c r="N123">
        <v>1</v>
      </c>
      <c r="O123">
        <v>-1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 t="s">
        <v>22</v>
      </c>
      <c r="W123" t="s">
        <v>24</v>
      </c>
      <c r="X123" t="s">
        <v>26</v>
      </c>
      <c r="Y123">
        <v>1.15465</v>
      </c>
    </row>
    <row r="124" spans="1:25" x14ac:dyDescent="0.35">
      <c r="A124" s="2">
        <v>44434.71576550926</v>
      </c>
      <c r="B124" s="3">
        <v>15.3</v>
      </c>
      <c r="C124" s="3">
        <f>(21.98+21.92)/2</f>
        <v>21.950000000000003</v>
      </c>
      <c r="D124" s="3">
        <f>(21.69+21.37)/2</f>
        <v>21.53</v>
      </c>
      <c r="E124" s="3">
        <f>(2.13+1.14)/2</f>
        <v>1.6349999999999998</v>
      </c>
      <c r="F124" s="3">
        <f>(59.39+56.64)/2</f>
        <v>58.015000000000001</v>
      </c>
      <c r="G124" s="3">
        <f>(0.11+0.17)/2</f>
        <v>0.14000000000000001</v>
      </c>
      <c r="H124" s="3">
        <f>(22.56+21.62)/2</f>
        <v>22.09</v>
      </c>
      <c r="I124">
        <v>1</v>
      </c>
      <c r="J124">
        <v>36</v>
      </c>
      <c r="K124">
        <v>179</v>
      </c>
      <c r="L124">
        <v>110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0</v>
      </c>
      <c r="U124">
        <v>0</v>
      </c>
      <c r="V124" t="s">
        <v>20</v>
      </c>
      <c r="W124" t="s">
        <v>24</v>
      </c>
      <c r="X124" t="s">
        <v>26</v>
      </c>
      <c r="Y124">
        <v>0.62024999999999997</v>
      </c>
    </row>
    <row r="125" spans="1:25" x14ac:dyDescent="0.35">
      <c r="A125" s="2">
        <v>44434.71579440972</v>
      </c>
      <c r="B125" s="3">
        <v>15.3</v>
      </c>
      <c r="C125" s="3">
        <v>20.81</v>
      </c>
      <c r="D125" s="3">
        <v>20</v>
      </c>
      <c r="E125" s="3">
        <v>1.57</v>
      </c>
      <c r="F125" s="3">
        <v>68.959999999999994</v>
      </c>
      <c r="G125" s="3">
        <v>0.09</v>
      </c>
      <c r="H125" s="3">
        <v>21</v>
      </c>
      <c r="I125">
        <v>1</v>
      </c>
      <c r="J125">
        <v>23</v>
      </c>
      <c r="K125">
        <v>180</v>
      </c>
      <c r="L125">
        <v>82</v>
      </c>
      <c r="M125">
        <v>1</v>
      </c>
      <c r="N125">
        <v>2</v>
      </c>
      <c r="O125">
        <v>2</v>
      </c>
      <c r="P125">
        <v>2</v>
      </c>
      <c r="Q125">
        <v>1</v>
      </c>
      <c r="R125">
        <v>0</v>
      </c>
      <c r="S125">
        <v>1</v>
      </c>
      <c r="T125">
        <v>0</v>
      </c>
      <c r="U125">
        <v>0</v>
      </c>
      <c r="V125" t="s">
        <v>22</v>
      </c>
      <c r="W125" t="s">
        <v>25</v>
      </c>
      <c r="X125" t="s">
        <v>26</v>
      </c>
      <c r="Y125">
        <v>1.0794999999999999</v>
      </c>
    </row>
    <row r="126" spans="1:25" x14ac:dyDescent="0.35">
      <c r="A126" s="2">
        <v>44434.717031898152</v>
      </c>
      <c r="B126" s="3">
        <v>15.1</v>
      </c>
      <c r="C126" s="3">
        <v>20.87</v>
      </c>
      <c r="D126" s="3">
        <v>19.559999999999999</v>
      </c>
      <c r="E126" s="3">
        <v>1.53</v>
      </c>
      <c r="F126" s="3">
        <v>67.16</v>
      </c>
      <c r="G126" s="3">
        <v>0.26</v>
      </c>
      <c r="H126" s="3">
        <v>20.81</v>
      </c>
      <c r="I126">
        <v>1</v>
      </c>
      <c r="J126">
        <v>25</v>
      </c>
      <c r="K126">
        <v>184</v>
      </c>
      <c r="L126">
        <v>80</v>
      </c>
      <c r="M126">
        <v>2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23</v>
      </c>
      <c r="W126" t="s">
        <v>25</v>
      </c>
      <c r="X126" t="s">
        <v>29</v>
      </c>
      <c r="Y126">
        <v>0.60355000000000003</v>
      </c>
    </row>
    <row r="127" spans="1:25" x14ac:dyDescent="0.35">
      <c r="A127" s="2">
        <v>44434.717430567129</v>
      </c>
      <c r="B127" s="3">
        <v>15</v>
      </c>
      <c r="C127" s="3">
        <f>(21.98+24.36)/2</f>
        <v>23.17</v>
      </c>
      <c r="D127" s="3">
        <f>(21.87+24.94)/2</f>
        <v>23.405000000000001</v>
      </c>
      <c r="E127" s="3">
        <f>(1.57+2.27)/2</f>
        <v>1.92</v>
      </c>
      <c r="F127" s="3">
        <f>(52.24+63.55)/2</f>
        <v>57.894999999999996</v>
      </c>
      <c r="G127" s="3">
        <v>0.04</v>
      </c>
      <c r="H127" s="3">
        <f>(22.5+25.94)/2</f>
        <v>24.22</v>
      </c>
      <c r="I127">
        <v>0</v>
      </c>
      <c r="J127">
        <v>24</v>
      </c>
      <c r="K127">
        <v>165</v>
      </c>
      <c r="L127">
        <v>56</v>
      </c>
      <c r="M127">
        <v>2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 t="s">
        <v>19</v>
      </c>
      <c r="W127" t="s">
        <v>24</v>
      </c>
      <c r="X127" t="s">
        <v>29</v>
      </c>
      <c r="Y127">
        <v>0.90415000000000001</v>
      </c>
    </row>
    <row r="128" spans="1:25" x14ac:dyDescent="0.35">
      <c r="A128" s="2">
        <v>44434.717596377312</v>
      </c>
      <c r="B128" s="3">
        <v>15</v>
      </c>
      <c r="C128" s="3">
        <f>(22.06+21.97)/2</f>
        <v>22.015000000000001</v>
      </c>
      <c r="D128" s="3">
        <f>(21.75+21.44)/2</f>
        <v>21.594999999999999</v>
      </c>
      <c r="E128" s="3">
        <f>(1.09+1.9)/2</f>
        <v>1.4950000000000001</v>
      </c>
      <c r="F128" s="3">
        <f>(58.08+60.17)/2</f>
        <v>59.125</v>
      </c>
      <c r="G128" s="3">
        <v>0.15</v>
      </c>
      <c r="H128" s="3">
        <f>(22.62+21.62)/2</f>
        <v>22.12</v>
      </c>
      <c r="I128">
        <v>0</v>
      </c>
      <c r="J128">
        <v>34</v>
      </c>
      <c r="K128">
        <v>150</v>
      </c>
      <c r="L128">
        <v>50</v>
      </c>
      <c r="M128">
        <v>2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 t="s">
        <v>20</v>
      </c>
      <c r="W128" t="s">
        <v>25</v>
      </c>
      <c r="X128" t="s">
        <v>27</v>
      </c>
      <c r="Y128">
        <v>0.60355000000000003</v>
      </c>
    </row>
    <row r="129" spans="1:25" x14ac:dyDescent="0.35">
      <c r="A129" s="2">
        <v>44434.723206168979</v>
      </c>
      <c r="B129" s="3">
        <v>15</v>
      </c>
      <c r="C129" s="3">
        <v>20.83</v>
      </c>
      <c r="D129" s="3">
        <v>19.809999999999999</v>
      </c>
      <c r="E129" s="3">
        <v>1.74</v>
      </c>
      <c r="F129" s="3">
        <v>67.099999999999994</v>
      </c>
      <c r="G129" s="3">
        <v>0.09</v>
      </c>
      <c r="H129" s="3">
        <v>21.25</v>
      </c>
      <c r="I129">
        <v>1</v>
      </c>
      <c r="J129">
        <v>28</v>
      </c>
      <c r="K129">
        <v>186</v>
      </c>
      <c r="L129">
        <v>95</v>
      </c>
      <c r="M129">
        <v>1</v>
      </c>
      <c r="N129">
        <v>-1</v>
      </c>
      <c r="O129">
        <v>1</v>
      </c>
      <c r="P129">
        <v>-1</v>
      </c>
      <c r="Q129">
        <v>1</v>
      </c>
      <c r="R129">
        <v>0</v>
      </c>
      <c r="S129">
        <v>0</v>
      </c>
      <c r="T129">
        <v>0</v>
      </c>
      <c r="U129">
        <v>0</v>
      </c>
      <c r="V129" t="s">
        <v>22</v>
      </c>
      <c r="W129" t="s">
        <v>25</v>
      </c>
      <c r="X129" t="s">
        <v>29</v>
      </c>
      <c r="Y129">
        <v>0.89580000000000004</v>
      </c>
    </row>
    <row r="130" spans="1:25" x14ac:dyDescent="0.35">
      <c r="A130" s="2">
        <v>44434.726505011567</v>
      </c>
      <c r="B130" s="3">
        <v>14.8</v>
      </c>
      <c r="C130" s="3">
        <v>20.45</v>
      </c>
      <c r="D130" s="3">
        <v>18.12</v>
      </c>
      <c r="E130" s="3">
        <v>2.34</v>
      </c>
      <c r="F130" s="3">
        <v>64.23</v>
      </c>
      <c r="G130" s="3">
        <v>0.27</v>
      </c>
      <c r="H130" s="3">
        <v>21</v>
      </c>
      <c r="I130">
        <v>1</v>
      </c>
      <c r="J130">
        <v>46</v>
      </c>
      <c r="K130">
        <v>178</v>
      </c>
      <c r="L130">
        <v>105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21</v>
      </c>
      <c r="W130" t="s">
        <v>24</v>
      </c>
      <c r="X130" t="s">
        <v>29</v>
      </c>
      <c r="Y130">
        <v>0.69540000000000002</v>
      </c>
    </row>
    <row r="131" spans="1:25" x14ac:dyDescent="0.35">
      <c r="A131" s="2">
        <v>44434.726867384263</v>
      </c>
      <c r="B131" s="3">
        <v>14.8</v>
      </c>
      <c r="C131" s="3">
        <v>20.86</v>
      </c>
      <c r="D131" s="3">
        <v>19.690000000000001</v>
      </c>
      <c r="E131" s="3">
        <v>1.76</v>
      </c>
      <c r="F131" s="3">
        <v>62.54</v>
      </c>
      <c r="G131" s="3">
        <v>0.06</v>
      </c>
      <c r="H131" s="3">
        <v>21.19</v>
      </c>
      <c r="I131">
        <v>1</v>
      </c>
      <c r="J131">
        <v>24</v>
      </c>
      <c r="K131">
        <v>190</v>
      </c>
      <c r="L131">
        <v>89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18</v>
      </c>
      <c r="W131" t="s">
        <v>25</v>
      </c>
      <c r="X131" t="s">
        <v>26</v>
      </c>
      <c r="Y131">
        <v>0.72045000000000003</v>
      </c>
    </row>
    <row r="132" spans="1:25" x14ac:dyDescent="0.35">
      <c r="A132" s="2">
        <v>44434.732077094908</v>
      </c>
      <c r="B132" s="3">
        <v>15</v>
      </c>
      <c r="C132" s="3">
        <f>(21.71+24.09)/2</f>
        <v>22.9</v>
      </c>
      <c r="D132" s="3">
        <f>(21.37+24.63)/2</f>
        <v>23</v>
      </c>
      <c r="E132" s="3">
        <f>(2.7+1.4)/2</f>
        <v>2.0499999999999998</v>
      </c>
      <c r="F132" s="3">
        <f>(53.17+62.34)/2</f>
        <v>57.755000000000003</v>
      </c>
      <c r="G132" s="3">
        <v>0.04</v>
      </c>
      <c r="H132" s="3">
        <f>(22.06+25.5)/2</f>
        <v>23.78</v>
      </c>
      <c r="I132">
        <v>0</v>
      </c>
      <c r="J132">
        <v>42</v>
      </c>
      <c r="K132">
        <v>167</v>
      </c>
      <c r="L132">
        <v>70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19</v>
      </c>
      <c r="W132" t="s">
        <v>25</v>
      </c>
      <c r="X132" t="s">
        <v>26</v>
      </c>
      <c r="Y132">
        <v>0.54510000000000003</v>
      </c>
    </row>
    <row r="133" spans="1:25" x14ac:dyDescent="0.35">
      <c r="A133" s="2">
        <v>44434.735025046299</v>
      </c>
      <c r="B133" s="3">
        <v>15.2</v>
      </c>
      <c r="C133" s="3">
        <v>21.38</v>
      </c>
      <c r="D133" s="3">
        <v>20.309999999999999</v>
      </c>
      <c r="E133" s="3">
        <v>1.63</v>
      </c>
      <c r="F133" s="3">
        <v>68.900000000000006</v>
      </c>
      <c r="G133" s="3">
        <v>0.09</v>
      </c>
      <c r="H133" s="3">
        <v>21.75</v>
      </c>
      <c r="I133">
        <v>1</v>
      </c>
      <c r="J133">
        <v>48</v>
      </c>
      <c r="K133">
        <v>178</v>
      </c>
      <c r="L133">
        <v>68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t="s">
        <v>22</v>
      </c>
      <c r="W133" t="s">
        <v>25</v>
      </c>
      <c r="X133" t="s">
        <v>29</v>
      </c>
      <c r="Y133">
        <v>0.78725000000000001</v>
      </c>
    </row>
    <row r="134" spans="1:25" x14ac:dyDescent="0.35">
      <c r="A134" s="2">
        <v>44434.73611351852</v>
      </c>
      <c r="B134" s="3">
        <v>15.41</v>
      </c>
      <c r="C134" s="3">
        <v>21.44</v>
      </c>
      <c r="D134" s="3">
        <v>20.37</v>
      </c>
      <c r="E134" s="3">
        <v>1.63</v>
      </c>
      <c r="F134" s="3">
        <v>68.599999999999994</v>
      </c>
      <c r="G134" s="3">
        <v>0.09</v>
      </c>
      <c r="H134" s="3">
        <v>21.81</v>
      </c>
      <c r="I134">
        <v>0</v>
      </c>
      <c r="J134">
        <v>26</v>
      </c>
      <c r="K134">
        <v>165</v>
      </c>
      <c r="L134">
        <v>58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22</v>
      </c>
      <c r="W134" t="s">
        <v>24</v>
      </c>
      <c r="X134" t="s">
        <v>27</v>
      </c>
      <c r="Y134">
        <v>0.71210000000000007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Francesco Cigarini</cp:lastModifiedBy>
  <dcterms:created xsi:type="dcterms:W3CDTF">2022-06-07T09:39:55Z</dcterms:created>
  <dcterms:modified xsi:type="dcterms:W3CDTF">2022-06-09T09:33:41Z</dcterms:modified>
</cp:coreProperties>
</file>