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cigarini\Desktop\Projekte\2019_E-MetroBus\Inhalt\AP5\ML_Modell\Daten\"/>
    </mc:Choice>
  </mc:AlternateContent>
  <xr:revisionPtr revIDLastSave="0" documentId="13_ncr:1_{6356D406-8488-4C7D-BBB2-B71E7BC80BE7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9" i="1" l="1"/>
  <c r="E49" i="1"/>
  <c r="H49" i="1"/>
  <c r="F49" i="1"/>
  <c r="C48" i="1"/>
  <c r="E48" i="1"/>
  <c r="D48" i="1"/>
  <c r="H48" i="1"/>
  <c r="F48" i="1"/>
  <c r="C71" i="1"/>
  <c r="E71" i="1"/>
  <c r="D71" i="1"/>
  <c r="H71" i="1"/>
  <c r="F71" i="1"/>
  <c r="C70" i="1"/>
  <c r="E70" i="1"/>
  <c r="D70" i="1"/>
  <c r="H70" i="1"/>
  <c r="F70" i="1"/>
  <c r="D67" i="1"/>
  <c r="E67" i="1"/>
  <c r="C67" i="1"/>
  <c r="H67" i="1"/>
  <c r="F67" i="1"/>
  <c r="C66" i="1"/>
  <c r="E66" i="1"/>
  <c r="D66" i="1"/>
  <c r="H66" i="1"/>
  <c r="F66" i="1"/>
  <c r="C62" i="1"/>
  <c r="E62" i="1"/>
  <c r="D62" i="1"/>
  <c r="H62" i="1"/>
  <c r="F62" i="1"/>
  <c r="C56" i="1"/>
  <c r="E56" i="1"/>
  <c r="D56" i="1"/>
  <c r="H56" i="1"/>
  <c r="F56" i="1"/>
  <c r="C51" i="1"/>
  <c r="E51" i="1"/>
  <c r="D51" i="1"/>
  <c r="H51" i="1"/>
  <c r="F51" i="1"/>
  <c r="C44" i="1"/>
  <c r="E44" i="1"/>
  <c r="D44" i="1"/>
  <c r="H44" i="1"/>
  <c r="F44" i="1"/>
  <c r="D38" i="1"/>
  <c r="C38" i="1"/>
  <c r="E38" i="1"/>
  <c r="H38" i="1"/>
  <c r="F38" i="1"/>
  <c r="D31" i="1"/>
  <c r="C31" i="1"/>
  <c r="E31" i="1"/>
  <c r="H31" i="1"/>
  <c r="F31" i="1"/>
  <c r="C22" i="1"/>
  <c r="E22" i="1"/>
  <c r="D22" i="1"/>
  <c r="H22" i="1"/>
  <c r="F22" i="1"/>
  <c r="C20" i="1"/>
  <c r="E20" i="1"/>
  <c r="D20" i="1"/>
  <c r="H20" i="1"/>
  <c r="F20" i="1"/>
  <c r="C6" i="1"/>
  <c r="E6" i="1"/>
  <c r="D6" i="1"/>
  <c r="H6" i="1"/>
  <c r="F6" i="1"/>
  <c r="C4" i="1"/>
  <c r="E4" i="1"/>
  <c r="D4" i="1"/>
  <c r="H4" i="1"/>
  <c r="F4" i="1"/>
  <c r="C3" i="1"/>
  <c r="E3" i="1"/>
  <c r="D3" i="1"/>
  <c r="H3" i="1"/>
  <c r="F3" i="1"/>
  <c r="C65" i="1"/>
  <c r="E65" i="1"/>
  <c r="D65" i="1"/>
  <c r="H65" i="1"/>
  <c r="F65" i="1"/>
  <c r="C61" i="1"/>
  <c r="E61" i="1"/>
  <c r="D61" i="1"/>
  <c r="H61" i="1"/>
  <c r="F61" i="1"/>
  <c r="C45" i="1"/>
  <c r="E45" i="1"/>
  <c r="D45" i="1"/>
  <c r="H45" i="1"/>
  <c r="F45" i="1"/>
  <c r="C40" i="1"/>
  <c r="E40" i="1"/>
  <c r="D40" i="1"/>
  <c r="H40" i="1"/>
  <c r="F40" i="1"/>
  <c r="C36" i="1"/>
  <c r="E36" i="1"/>
  <c r="D36" i="1"/>
  <c r="H36" i="1"/>
  <c r="F36" i="1"/>
  <c r="C32" i="1"/>
  <c r="E32" i="1"/>
  <c r="D32" i="1"/>
  <c r="H32" i="1"/>
  <c r="F32" i="1"/>
  <c r="C27" i="1"/>
  <c r="E27" i="1"/>
  <c r="D27" i="1"/>
  <c r="H27" i="1"/>
  <c r="F27" i="1"/>
  <c r="C26" i="1"/>
  <c r="E26" i="1"/>
  <c r="D26" i="1"/>
  <c r="H26" i="1"/>
  <c r="F26" i="1"/>
  <c r="C25" i="1"/>
  <c r="E25" i="1"/>
  <c r="D25" i="1"/>
  <c r="H25" i="1"/>
  <c r="F25" i="1"/>
  <c r="C17" i="1"/>
  <c r="D17" i="1"/>
  <c r="H17" i="1"/>
  <c r="F17" i="1"/>
  <c r="C16" i="1"/>
  <c r="E16" i="1"/>
  <c r="D16" i="1"/>
  <c r="H16" i="1"/>
  <c r="F16" i="1"/>
  <c r="C12" i="1"/>
  <c r="E12" i="1"/>
  <c r="D12" i="1"/>
  <c r="H12" i="1"/>
  <c r="F12" i="1"/>
  <c r="H11" i="1"/>
  <c r="F11" i="1"/>
  <c r="E11" i="1"/>
  <c r="D11" i="1"/>
  <c r="C11" i="1"/>
  <c r="C10" i="1"/>
  <c r="E10" i="1"/>
  <c r="D10" i="1"/>
  <c r="H10" i="1"/>
  <c r="F10" i="1"/>
</calcChain>
</file>

<file path=xl/sharedStrings.xml><?xml version="1.0" encoding="utf-8"?>
<sst xmlns="http://schemas.openxmlformats.org/spreadsheetml/2006/main" count="236" uniqueCount="37">
  <si>
    <t>Timestamp</t>
  </si>
  <si>
    <t>Gender</t>
  </si>
  <si>
    <t>Age</t>
  </si>
  <si>
    <t>Height</t>
  </si>
  <si>
    <t>Weight</t>
  </si>
  <si>
    <t>Well-being</t>
  </si>
  <si>
    <t>Thermal feeling (global)</t>
  </si>
  <si>
    <t>Thermal feeling (head)</t>
  </si>
  <si>
    <t>Thermal feeling (hands)</t>
  </si>
  <si>
    <t>Thermal feeling (feet)</t>
  </si>
  <si>
    <t>Thermal comfort (global)</t>
  </si>
  <si>
    <t>Thermal comfort (head)</t>
  </si>
  <si>
    <t>Thermal comfort (hands)</t>
  </si>
  <si>
    <t>Thermal comfort (feet)</t>
  </si>
  <si>
    <t>Duration</t>
  </si>
  <si>
    <t>Activity</t>
  </si>
  <si>
    <t>Position</t>
  </si>
  <si>
    <t>Window / alley</t>
  </si>
  <si>
    <t>Icl</t>
  </si>
  <si>
    <t>Weniger als 15 Minuten</t>
  </si>
  <si>
    <t>15 bis 30 Minuten</t>
  </si>
  <si>
    <t>30 bis 45 Minuten</t>
  </si>
  <si>
    <t>Vorderwagen - Vordere Tür</t>
  </si>
  <si>
    <t>Hinterwagen - Hinterbereich</t>
  </si>
  <si>
    <t>Vorderwagen - Hintere Tür</t>
  </si>
  <si>
    <t>Vorderwagen - Zwischen den Türen</t>
  </si>
  <si>
    <t>Hinterwagen - Tür</t>
  </si>
  <si>
    <t>Gelenkbereich</t>
  </si>
  <si>
    <t>Gang</t>
  </si>
  <si>
    <t>Fenster</t>
  </si>
  <si>
    <t>Outside Temperature</t>
  </si>
  <si>
    <t>Avg. Temperature</t>
  </si>
  <si>
    <t>Feet temperature</t>
  </si>
  <si>
    <t>Temperature difference</t>
  </si>
  <si>
    <t>RH</t>
  </si>
  <si>
    <t>va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</si>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</sst>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tabSelected="1" workbookViewId="0">
      <pane ySplit="1" topLeftCell="A53" activePane="bottomLeft" state="frozen"/>
      <selection activeCell="S1" sqref="S1"/>
      <selection pane="bottomLeft" activeCell="B72" sqref="B72"/>
    </sheetView>
  </sheetViews>
  <sheetFormatPr baseColWidth="10" defaultColWidth="8.7265625" defaultRowHeight="14.5" x14ac:dyDescent="0.35"/>
  <cols>
    <col min="1" max="1" width="17.7265625" bestFit="1" customWidth="1"/>
    <col min="2" max="2" width="18.90625" bestFit="1" customWidth="1"/>
    <col min="3" max="3" width="15.90625" bestFit="1" customWidth="1"/>
    <col min="4" max="4" width="15.6328125" bestFit="1" customWidth="1"/>
    <col min="5" max="5" width="20.81640625" bestFit="1" customWidth="1"/>
    <col min="6" max="6" width="5.36328125" bestFit="1" customWidth="1"/>
    <col min="7" max="7" width="4.36328125" bestFit="1" customWidth="1"/>
    <col min="8" max="8" width="5.36328125" bestFit="1" customWidth="1"/>
    <col min="13" max="13" width="9.7265625" bestFit="1" customWidth="1"/>
    <col min="14" max="14" width="20.54296875" bestFit="1" customWidth="1"/>
    <col min="15" max="15" width="19.7265625" bestFit="1" customWidth="1"/>
    <col min="16" max="16" width="20.6328125" bestFit="1" customWidth="1"/>
    <col min="17" max="17" width="18.90625" bestFit="1" customWidth="1"/>
    <col min="18" max="18" width="21.81640625" bestFit="1" customWidth="1"/>
    <col min="19" max="19" width="21" bestFit="1" customWidth="1"/>
    <col min="20" max="20" width="21.90625" bestFit="1" customWidth="1"/>
    <col min="21" max="21" width="20.08984375" bestFit="1" customWidth="1"/>
    <col min="22" max="22" width="20.6328125" bestFit="1" customWidth="1"/>
    <col min="24" max="24" width="30.453125" bestFit="1" customWidth="1"/>
    <col min="25" max="25" width="13.36328125" bestFit="1" customWidth="1"/>
  </cols>
  <sheetData>
    <row r="1" spans="1:26" x14ac:dyDescent="0.35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</row>
    <row r="2" spans="1:26" x14ac:dyDescent="0.35">
      <c r="A2" s="2">
        <v>44523.370729166672</v>
      </c>
      <c r="B2" s="3">
        <v>5.2</v>
      </c>
      <c r="C2" s="3">
        <v>12.83</v>
      </c>
      <c r="D2" s="3">
        <v>9.1300000000000008</v>
      </c>
      <c r="E2" s="3">
        <v>4.6500000000000004</v>
      </c>
      <c r="F2" s="3">
        <v>74.569999999999993</v>
      </c>
      <c r="G2" s="3">
        <v>0.44</v>
      </c>
      <c r="H2" s="3">
        <v>12.81</v>
      </c>
      <c r="I2">
        <v>0</v>
      </c>
      <c r="J2">
        <v>62</v>
      </c>
      <c r="K2">
        <v>162</v>
      </c>
      <c r="L2">
        <v>60</v>
      </c>
      <c r="M2">
        <v>0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1</v>
      </c>
      <c r="U2">
        <v>1</v>
      </c>
      <c r="V2" t="s">
        <v>19</v>
      </c>
      <c r="W2">
        <v>1</v>
      </c>
      <c r="X2" t="s">
        <v>22</v>
      </c>
      <c r="Y2" t="s">
        <v>28</v>
      </c>
      <c r="Z2">
        <v>1.1963999999999999</v>
      </c>
    </row>
    <row r="3" spans="1:26" x14ac:dyDescent="0.35">
      <c r="A3" s="2">
        <v>44523.373460648138</v>
      </c>
      <c r="B3" s="3">
        <v>5.3</v>
      </c>
      <c r="C3" s="3">
        <f>(12.94+13.61)/2</f>
        <v>13.274999999999999</v>
      </c>
      <c r="D3" s="3">
        <f>(10.94+9.69)/2</f>
        <v>10.315</v>
      </c>
      <c r="E3" s="3">
        <f>(3.71+3.09)/2</f>
        <v>3.4</v>
      </c>
      <c r="F3" s="3">
        <f>(71.15+74.13)/2</f>
        <v>72.64</v>
      </c>
      <c r="G3" s="3">
        <v>0</v>
      </c>
      <c r="H3" s="3">
        <f>(12.81+12.06)/2</f>
        <v>12.435</v>
      </c>
      <c r="I3">
        <v>0</v>
      </c>
      <c r="J3">
        <v>36</v>
      </c>
      <c r="K3">
        <v>163</v>
      </c>
      <c r="L3">
        <v>65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19</v>
      </c>
      <c r="W3">
        <v>1</v>
      </c>
      <c r="X3" t="s">
        <v>23</v>
      </c>
      <c r="Y3" t="s">
        <v>28</v>
      </c>
      <c r="Z3">
        <v>0.84570000000000001</v>
      </c>
    </row>
    <row r="4" spans="1:26" x14ac:dyDescent="0.35">
      <c r="A4" s="2">
        <v>44523.373611111107</v>
      </c>
      <c r="B4" s="3">
        <v>5.3</v>
      </c>
      <c r="C4" s="3">
        <f>(13.59+12.96)/2</f>
        <v>13.275</v>
      </c>
      <c r="D4" s="3">
        <f>(10.88+9.88)/2</f>
        <v>10.38</v>
      </c>
      <c r="E4" s="3">
        <f>(3.12+3.6)/2</f>
        <v>3.3600000000000003</v>
      </c>
      <c r="F4" s="3">
        <f>(74.19+71.2)/2</f>
        <v>72.694999999999993</v>
      </c>
      <c r="G4" s="3">
        <v>0</v>
      </c>
      <c r="H4" s="3">
        <f>(12.06+12.81)/2</f>
        <v>12.435</v>
      </c>
      <c r="I4">
        <v>1</v>
      </c>
      <c r="J4">
        <v>44</v>
      </c>
      <c r="K4">
        <v>190</v>
      </c>
      <c r="L4">
        <v>100</v>
      </c>
      <c r="M4">
        <v>1</v>
      </c>
      <c r="N4">
        <v>-2</v>
      </c>
      <c r="O4">
        <v>0</v>
      </c>
      <c r="P4">
        <v>-3</v>
      </c>
      <c r="Q4">
        <v>-2</v>
      </c>
      <c r="R4">
        <v>0</v>
      </c>
      <c r="S4">
        <v>0</v>
      </c>
      <c r="T4">
        <v>0</v>
      </c>
      <c r="U4">
        <v>0</v>
      </c>
      <c r="V4" t="s">
        <v>19</v>
      </c>
      <c r="W4">
        <v>1</v>
      </c>
      <c r="X4" t="s">
        <v>23</v>
      </c>
      <c r="Y4" t="s">
        <v>29</v>
      </c>
      <c r="Z4">
        <v>1.38845</v>
      </c>
    </row>
    <row r="5" spans="1:26" x14ac:dyDescent="0.35">
      <c r="A5" s="2">
        <v>44523.376388888893</v>
      </c>
      <c r="B5" s="3">
        <v>5.3</v>
      </c>
      <c r="C5" s="3">
        <v>12.59</v>
      </c>
      <c r="D5" s="3">
        <v>9.5</v>
      </c>
      <c r="E5" s="3">
        <v>4.1900000000000004</v>
      </c>
      <c r="F5" s="3">
        <v>78.67</v>
      </c>
      <c r="G5" s="3">
        <v>0.13</v>
      </c>
      <c r="H5" s="3">
        <v>11.63</v>
      </c>
      <c r="I5">
        <v>0</v>
      </c>
      <c r="J5">
        <v>31</v>
      </c>
      <c r="K5">
        <v>170</v>
      </c>
      <c r="L5">
        <v>55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 t="s">
        <v>19</v>
      </c>
      <c r="W5">
        <v>1</v>
      </c>
      <c r="X5" t="s">
        <v>24</v>
      </c>
      <c r="Y5" t="s">
        <v>29</v>
      </c>
      <c r="Z5">
        <v>1.4469000000000001</v>
      </c>
    </row>
    <row r="6" spans="1:26" x14ac:dyDescent="0.35">
      <c r="A6" s="2">
        <v>44523.382638888892</v>
      </c>
      <c r="B6" s="3">
        <v>5.6</v>
      </c>
      <c r="C6" s="3">
        <f>(12.48+13.37)/2</f>
        <v>12.925000000000001</v>
      </c>
      <c r="D6" s="3">
        <f>(10.69+9.94)/2</f>
        <v>10.315</v>
      </c>
      <c r="E6" s="3">
        <f>(3+2.89)/2</f>
        <v>2.9450000000000003</v>
      </c>
      <c r="F6" s="3">
        <f>(70.21+75.69)/2</f>
        <v>72.949999999999989</v>
      </c>
      <c r="G6" s="3">
        <v>0</v>
      </c>
      <c r="H6" s="3">
        <f>(11.81+12.94)/2</f>
        <v>12.375</v>
      </c>
      <c r="I6">
        <v>1</v>
      </c>
      <c r="J6">
        <v>33</v>
      </c>
      <c r="K6">
        <v>188</v>
      </c>
      <c r="L6">
        <v>85</v>
      </c>
      <c r="M6">
        <v>2</v>
      </c>
      <c r="N6">
        <v>-1</v>
      </c>
      <c r="O6">
        <v>-1</v>
      </c>
      <c r="P6">
        <v>-1</v>
      </c>
      <c r="Q6">
        <v>-1</v>
      </c>
      <c r="R6">
        <v>1</v>
      </c>
      <c r="S6">
        <v>1</v>
      </c>
      <c r="T6">
        <v>1</v>
      </c>
      <c r="U6">
        <v>1</v>
      </c>
      <c r="V6" t="s">
        <v>19</v>
      </c>
      <c r="W6">
        <v>1</v>
      </c>
      <c r="X6" t="s">
        <v>23</v>
      </c>
      <c r="Y6" t="s">
        <v>29</v>
      </c>
      <c r="Z6">
        <v>1.1295999999999999</v>
      </c>
    </row>
    <row r="7" spans="1:26" x14ac:dyDescent="0.35">
      <c r="A7" s="2">
        <v>44523.383622685193</v>
      </c>
      <c r="B7" s="3">
        <v>5.6</v>
      </c>
      <c r="C7" s="3">
        <v>12.29</v>
      </c>
      <c r="D7" s="3">
        <v>9.75</v>
      </c>
      <c r="E7" s="3">
        <v>2.63</v>
      </c>
      <c r="F7" s="3">
        <v>76.63</v>
      </c>
      <c r="G7" s="3">
        <v>0.1</v>
      </c>
      <c r="H7" s="3">
        <v>11.5</v>
      </c>
      <c r="I7">
        <v>0</v>
      </c>
      <c r="J7">
        <v>23</v>
      </c>
      <c r="K7">
        <v>168</v>
      </c>
      <c r="L7">
        <v>68</v>
      </c>
      <c r="M7">
        <v>-1</v>
      </c>
      <c r="N7">
        <v>-1</v>
      </c>
      <c r="O7">
        <v>-1</v>
      </c>
      <c r="P7">
        <v>-2</v>
      </c>
      <c r="Q7">
        <v>-3</v>
      </c>
      <c r="R7">
        <v>0</v>
      </c>
      <c r="S7">
        <v>0</v>
      </c>
      <c r="T7">
        <v>0</v>
      </c>
      <c r="U7">
        <v>0</v>
      </c>
      <c r="V7" t="s">
        <v>20</v>
      </c>
      <c r="W7">
        <v>1</v>
      </c>
      <c r="X7" t="s">
        <v>25</v>
      </c>
      <c r="Y7" t="s">
        <v>28</v>
      </c>
      <c r="Z7">
        <v>1.07115</v>
      </c>
    </row>
    <row r="8" spans="1:26" x14ac:dyDescent="0.35">
      <c r="A8" s="2">
        <v>44523.385416666657</v>
      </c>
      <c r="B8" s="3">
        <v>5.5</v>
      </c>
      <c r="C8" s="3">
        <v>11.43</v>
      </c>
      <c r="D8" s="3">
        <v>8.3800000000000008</v>
      </c>
      <c r="E8" s="3">
        <v>3.47</v>
      </c>
      <c r="F8" s="3">
        <v>75.47</v>
      </c>
      <c r="G8" s="3">
        <v>0.12</v>
      </c>
      <c r="H8" s="3">
        <v>12.31</v>
      </c>
      <c r="I8">
        <v>0</v>
      </c>
      <c r="J8">
        <v>77</v>
      </c>
      <c r="K8">
        <v>165</v>
      </c>
      <c r="L8">
        <v>62</v>
      </c>
      <c r="M8">
        <v>1</v>
      </c>
      <c r="N8">
        <v>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19</v>
      </c>
      <c r="W8">
        <v>1</v>
      </c>
      <c r="X8" t="s">
        <v>22</v>
      </c>
      <c r="Y8" t="s">
        <v>29</v>
      </c>
      <c r="Z8">
        <v>1.3049500000000001</v>
      </c>
    </row>
    <row r="9" spans="1:26" x14ac:dyDescent="0.35">
      <c r="A9" s="2">
        <v>44523.385648148149</v>
      </c>
      <c r="B9" s="3">
        <v>5.5</v>
      </c>
      <c r="C9" s="3">
        <v>11.95</v>
      </c>
      <c r="D9" s="3">
        <v>9.19</v>
      </c>
      <c r="E9" s="3">
        <v>3.7</v>
      </c>
      <c r="F9" s="3">
        <v>81.540000000000006</v>
      </c>
      <c r="G9" s="3">
        <v>0.04</v>
      </c>
      <c r="H9" s="3">
        <v>11.31</v>
      </c>
      <c r="I9">
        <v>0</v>
      </c>
      <c r="J9">
        <v>22</v>
      </c>
      <c r="K9">
        <v>178</v>
      </c>
      <c r="L9">
        <v>80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 t="s">
        <v>19</v>
      </c>
      <c r="W9">
        <v>1</v>
      </c>
      <c r="X9" t="s">
        <v>24</v>
      </c>
      <c r="Y9" t="s">
        <v>29</v>
      </c>
      <c r="Z9">
        <v>1.0628</v>
      </c>
    </row>
    <row r="10" spans="1:26" x14ac:dyDescent="0.35">
      <c r="A10" s="2">
        <v>44523.387488425928</v>
      </c>
      <c r="B10" s="3">
        <v>5.6</v>
      </c>
      <c r="C10" s="3">
        <f>(12.14+11.78)/2</f>
        <v>11.96</v>
      </c>
      <c r="D10" s="3">
        <f>(10.13+10.25)/2</f>
        <v>10.190000000000001</v>
      </c>
      <c r="E10" s="3">
        <f>(3.36+2)/2</f>
        <v>2.6799999999999997</v>
      </c>
      <c r="F10" s="3">
        <f>(78.89+79.06)/2</f>
        <v>78.974999999999994</v>
      </c>
      <c r="G10" s="3">
        <v>0.03</v>
      </c>
      <c r="H10" s="3">
        <f>(12+11.25)/2</f>
        <v>11.625</v>
      </c>
      <c r="I10">
        <v>0</v>
      </c>
      <c r="J10">
        <v>25</v>
      </c>
      <c r="K10">
        <v>163</v>
      </c>
      <c r="L10">
        <v>65</v>
      </c>
      <c r="M10">
        <v>-1</v>
      </c>
      <c r="N10">
        <v>0</v>
      </c>
      <c r="O10">
        <v>0</v>
      </c>
      <c r="P10">
        <v>-1</v>
      </c>
      <c r="Q10">
        <v>-2</v>
      </c>
      <c r="R10">
        <v>0</v>
      </c>
      <c r="S10">
        <v>0</v>
      </c>
      <c r="T10">
        <v>0</v>
      </c>
      <c r="U10">
        <v>0</v>
      </c>
      <c r="V10" t="s">
        <v>19</v>
      </c>
      <c r="W10">
        <v>1</v>
      </c>
      <c r="X10" t="s">
        <v>26</v>
      </c>
      <c r="Y10" t="s">
        <v>29</v>
      </c>
      <c r="Z10">
        <v>1.1463000000000001</v>
      </c>
    </row>
    <row r="11" spans="1:26" x14ac:dyDescent="0.35">
      <c r="A11" s="2">
        <v>44523.387499999997</v>
      </c>
      <c r="B11" s="3">
        <v>5.6</v>
      </c>
      <c r="C11" s="3">
        <f>(12.14+11.78)/2</f>
        <v>11.96</v>
      </c>
      <c r="D11" s="3">
        <f>(10.13+10.25)/2</f>
        <v>10.190000000000001</v>
      </c>
      <c r="E11" s="3">
        <f>(3.36+2)/2</f>
        <v>2.6799999999999997</v>
      </c>
      <c r="F11" s="3">
        <f>(78.89+79.06)/2</f>
        <v>78.974999999999994</v>
      </c>
      <c r="G11" s="3">
        <v>0.03</v>
      </c>
      <c r="H11" s="3">
        <f>(12+11.25)/2</f>
        <v>11.625</v>
      </c>
      <c r="I11">
        <v>0</v>
      </c>
      <c r="J11">
        <v>82</v>
      </c>
      <c r="K11">
        <v>165</v>
      </c>
      <c r="L11">
        <v>62</v>
      </c>
      <c r="M11">
        <v>1</v>
      </c>
      <c r="N11">
        <v>-2</v>
      </c>
      <c r="O11">
        <v>0</v>
      </c>
      <c r="P11">
        <v>-3</v>
      </c>
      <c r="Q11">
        <v>-3</v>
      </c>
      <c r="R11">
        <v>0</v>
      </c>
      <c r="S11">
        <v>0</v>
      </c>
      <c r="T11">
        <v>0</v>
      </c>
      <c r="U11">
        <v>0</v>
      </c>
      <c r="V11" t="s">
        <v>19</v>
      </c>
      <c r="W11">
        <v>1</v>
      </c>
      <c r="X11" t="s">
        <v>26</v>
      </c>
      <c r="Y11" t="s">
        <v>29</v>
      </c>
      <c r="Z11">
        <v>1.15465</v>
      </c>
    </row>
    <row r="12" spans="1:26" x14ac:dyDescent="0.35">
      <c r="A12" s="2">
        <v>44523.388518518521</v>
      </c>
      <c r="B12" s="3">
        <v>5.5</v>
      </c>
      <c r="C12" s="3">
        <f>(12.14+11.78)/2</f>
        <v>11.96</v>
      </c>
      <c r="D12" s="3">
        <f>(10.13+10.25)/2</f>
        <v>10.190000000000001</v>
      </c>
      <c r="E12" s="3">
        <f>(3.31+2.14)/2</f>
        <v>2.7250000000000001</v>
      </c>
      <c r="F12" s="3">
        <f>(80.41+79.47)/2</f>
        <v>79.94</v>
      </c>
      <c r="G12" s="3">
        <v>0.03</v>
      </c>
      <c r="H12" s="3">
        <f>(12.06+11.25)/2</f>
        <v>11.655000000000001</v>
      </c>
      <c r="I12">
        <v>0</v>
      </c>
      <c r="J12">
        <v>27</v>
      </c>
      <c r="K12">
        <v>168</v>
      </c>
      <c r="L12">
        <v>57</v>
      </c>
      <c r="M12">
        <v>0</v>
      </c>
      <c r="N12">
        <v>0</v>
      </c>
      <c r="O12">
        <v>0</v>
      </c>
      <c r="P12">
        <v>-2</v>
      </c>
      <c r="Q12">
        <v>-2</v>
      </c>
      <c r="R12">
        <v>0</v>
      </c>
      <c r="S12">
        <v>0</v>
      </c>
      <c r="T12">
        <v>0</v>
      </c>
      <c r="U12">
        <v>0</v>
      </c>
      <c r="V12" t="s">
        <v>21</v>
      </c>
      <c r="W12">
        <v>1</v>
      </c>
      <c r="X12" t="s">
        <v>26</v>
      </c>
      <c r="Y12" t="s">
        <v>29</v>
      </c>
      <c r="Z12">
        <v>0.98765000000000003</v>
      </c>
    </row>
    <row r="13" spans="1:26" x14ac:dyDescent="0.35">
      <c r="A13" s="2">
        <v>44523.397511574083</v>
      </c>
      <c r="B13" s="3">
        <v>5.4</v>
      </c>
      <c r="C13" s="3">
        <v>11.69</v>
      </c>
      <c r="D13" s="3">
        <v>8.75</v>
      </c>
      <c r="E13" s="3">
        <v>3.51</v>
      </c>
      <c r="F13" s="3">
        <v>77.94</v>
      </c>
      <c r="G13" s="3">
        <v>0.03</v>
      </c>
      <c r="H13" s="3">
        <v>10.75</v>
      </c>
      <c r="I13">
        <v>1</v>
      </c>
      <c r="J13">
        <v>38</v>
      </c>
      <c r="K13">
        <v>187</v>
      </c>
      <c r="L13">
        <v>69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19</v>
      </c>
      <c r="W13">
        <v>1</v>
      </c>
      <c r="X13" t="s">
        <v>27</v>
      </c>
      <c r="Y13" t="s">
        <v>28</v>
      </c>
      <c r="Z13">
        <v>0.89580000000000004</v>
      </c>
    </row>
    <row r="14" spans="1:26" x14ac:dyDescent="0.35">
      <c r="A14" s="2">
        <v>44523.398611111108</v>
      </c>
      <c r="B14" s="3">
        <v>5.3</v>
      </c>
      <c r="C14" s="3">
        <v>11.44</v>
      </c>
      <c r="D14" s="3">
        <v>9.1300000000000008</v>
      </c>
      <c r="E14" s="3">
        <v>3.3</v>
      </c>
      <c r="F14" s="3">
        <v>81.3</v>
      </c>
      <c r="G14" s="3">
        <v>0.06</v>
      </c>
      <c r="H14" s="3">
        <v>11</v>
      </c>
      <c r="I14">
        <v>1</v>
      </c>
      <c r="J14">
        <v>33</v>
      </c>
      <c r="K14">
        <v>174</v>
      </c>
      <c r="L14">
        <v>61</v>
      </c>
      <c r="M14">
        <v>1</v>
      </c>
      <c r="N14">
        <v>0</v>
      </c>
      <c r="O14">
        <v>-2</v>
      </c>
      <c r="P14">
        <v>-2</v>
      </c>
      <c r="Q14">
        <v>2</v>
      </c>
      <c r="R14">
        <v>0</v>
      </c>
      <c r="S14">
        <v>1</v>
      </c>
      <c r="T14">
        <v>1</v>
      </c>
      <c r="U14">
        <v>1</v>
      </c>
      <c r="V14" t="s">
        <v>19</v>
      </c>
      <c r="W14">
        <v>1</v>
      </c>
      <c r="X14" t="s">
        <v>24</v>
      </c>
      <c r="Y14" t="s">
        <v>29</v>
      </c>
      <c r="Z14">
        <v>1.3049500000000001</v>
      </c>
    </row>
    <row r="15" spans="1:26" x14ac:dyDescent="0.35">
      <c r="A15" s="2">
        <v>44523.40047453704</v>
      </c>
      <c r="B15" s="3">
        <v>5.2</v>
      </c>
      <c r="C15" s="3">
        <v>11.41</v>
      </c>
      <c r="D15" s="3">
        <v>8.6300000000000008</v>
      </c>
      <c r="E15" s="3">
        <v>3.3</v>
      </c>
      <c r="F15" s="3">
        <v>77.89</v>
      </c>
      <c r="G15" s="3">
        <v>0.03</v>
      </c>
      <c r="H15" s="3">
        <v>10.56</v>
      </c>
      <c r="I15">
        <v>1</v>
      </c>
      <c r="J15">
        <v>73</v>
      </c>
      <c r="K15">
        <v>167</v>
      </c>
      <c r="L15">
        <v>83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19</v>
      </c>
      <c r="W15">
        <v>1</v>
      </c>
      <c r="X15" t="s">
        <v>27</v>
      </c>
      <c r="Y15" t="s">
        <v>29</v>
      </c>
      <c r="Z15">
        <v>1.0544500000000001</v>
      </c>
    </row>
    <row r="16" spans="1:26" x14ac:dyDescent="0.35">
      <c r="A16" s="2">
        <v>44523.418449074074</v>
      </c>
      <c r="B16" s="3">
        <v>5.4</v>
      </c>
      <c r="C16" s="3">
        <f>(11.2+10.54)/2</f>
        <v>10.87</v>
      </c>
      <c r="D16" s="3">
        <f>(9+10.51)/2</f>
        <v>9.754999999999999</v>
      </c>
      <c r="E16" s="3">
        <f>(1.56+1.39)/2</f>
        <v>1.4750000000000001</v>
      </c>
      <c r="F16" s="3">
        <f>(78.13+77.29)/2</f>
        <v>77.710000000000008</v>
      </c>
      <c r="G16" s="3">
        <v>0.03</v>
      </c>
      <c r="H16" s="3">
        <f>(10.94+10.81)/2</f>
        <v>10.875</v>
      </c>
      <c r="I16">
        <v>1</v>
      </c>
      <c r="J16">
        <v>61</v>
      </c>
      <c r="K16">
        <v>176</v>
      </c>
      <c r="L16">
        <v>80</v>
      </c>
      <c r="M16">
        <v>0</v>
      </c>
      <c r="N16">
        <v>-1</v>
      </c>
      <c r="O16">
        <v>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19</v>
      </c>
      <c r="W16">
        <v>1</v>
      </c>
      <c r="X16" t="s">
        <v>26</v>
      </c>
      <c r="Y16" t="s">
        <v>28</v>
      </c>
      <c r="Z16">
        <v>1.0043500000000001</v>
      </c>
    </row>
    <row r="17" spans="1:26" x14ac:dyDescent="0.35">
      <c r="A17" s="2">
        <v>44523.418749999997</v>
      </c>
      <c r="B17" s="3">
        <v>5.4</v>
      </c>
      <c r="C17" s="3">
        <f>(11.17+10.6)/2</f>
        <v>10.885</v>
      </c>
      <c r="D17" s="3">
        <f>(9.19+10.38)/2</f>
        <v>9.7850000000000001</v>
      </c>
      <c r="E17" s="3">
        <v>1.47</v>
      </c>
      <c r="F17" s="3">
        <f>(78.57+77.34)/2</f>
        <v>77.954999999999998</v>
      </c>
      <c r="G17" s="3">
        <v>0.03</v>
      </c>
      <c r="H17" s="3">
        <f>(10.94+10.75)/2</f>
        <v>10.844999999999999</v>
      </c>
      <c r="I17">
        <v>1</v>
      </c>
      <c r="J17">
        <v>38</v>
      </c>
      <c r="K17">
        <v>183</v>
      </c>
      <c r="L17">
        <v>60</v>
      </c>
      <c r="M17">
        <v>1</v>
      </c>
      <c r="N17">
        <v>-2</v>
      </c>
      <c r="O17">
        <v>0</v>
      </c>
      <c r="P17">
        <v>-2</v>
      </c>
      <c r="Q17">
        <v>0</v>
      </c>
      <c r="R17">
        <v>0</v>
      </c>
      <c r="S17">
        <v>0</v>
      </c>
      <c r="T17">
        <v>1</v>
      </c>
      <c r="U17">
        <v>1</v>
      </c>
      <c r="V17" t="s">
        <v>19</v>
      </c>
      <c r="W17">
        <v>1</v>
      </c>
      <c r="X17" t="s">
        <v>26</v>
      </c>
      <c r="Y17" t="s">
        <v>29</v>
      </c>
      <c r="Z17">
        <v>1.2381500000000001</v>
      </c>
    </row>
    <row r="18" spans="1:26" x14ac:dyDescent="0.35">
      <c r="A18" s="2">
        <v>44523.420138888891</v>
      </c>
      <c r="B18" s="3">
        <v>5.6</v>
      </c>
      <c r="C18" s="3">
        <v>10.71</v>
      </c>
      <c r="D18" s="3">
        <v>9.06</v>
      </c>
      <c r="E18" s="3">
        <v>1.79</v>
      </c>
      <c r="F18" s="3">
        <v>78.53</v>
      </c>
      <c r="G18" s="3">
        <v>0.12</v>
      </c>
      <c r="H18" s="3">
        <v>10.130000000000001</v>
      </c>
      <c r="I18">
        <v>1</v>
      </c>
      <c r="J18">
        <v>35</v>
      </c>
      <c r="K18">
        <v>189</v>
      </c>
      <c r="L18">
        <v>87</v>
      </c>
      <c r="M18">
        <v>0</v>
      </c>
      <c r="N18">
        <v>-2</v>
      </c>
      <c r="O18">
        <v>1</v>
      </c>
      <c r="P18">
        <v>-3</v>
      </c>
      <c r="Q18">
        <v>-3</v>
      </c>
      <c r="R18">
        <v>1</v>
      </c>
      <c r="S18">
        <v>0</v>
      </c>
      <c r="T18">
        <v>1</v>
      </c>
      <c r="U18">
        <v>2</v>
      </c>
      <c r="V18" t="s">
        <v>19</v>
      </c>
      <c r="W18">
        <v>1</v>
      </c>
      <c r="X18" t="s">
        <v>25</v>
      </c>
      <c r="Y18" t="s">
        <v>29</v>
      </c>
      <c r="Z18">
        <v>1.3132999999999999</v>
      </c>
    </row>
    <row r="19" spans="1:26" x14ac:dyDescent="0.35">
      <c r="A19" s="2">
        <v>44523.42087962963</v>
      </c>
      <c r="B19" s="3">
        <v>5.6</v>
      </c>
      <c r="C19" s="3">
        <v>10.64</v>
      </c>
      <c r="D19" s="3">
        <v>8.1300000000000008</v>
      </c>
      <c r="E19" s="3">
        <v>2.82</v>
      </c>
      <c r="F19" s="3">
        <v>79.56</v>
      </c>
      <c r="G19" s="3">
        <v>0.03</v>
      </c>
      <c r="H19" s="3">
        <v>9.81</v>
      </c>
      <c r="I19">
        <v>1</v>
      </c>
      <c r="J19">
        <v>47</v>
      </c>
      <c r="K19">
        <v>184</v>
      </c>
      <c r="L19">
        <v>81</v>
      </c>
      <c r="M19">
        <v>1</v>
      </c>
      <c r="N19">
        <v>-1</v>
      </c>
      <c r="O19">
        <v>0</v>
      </c>
      <c r="P19">
        <v>-3</v>
      </c>
      <c r="Q19">
        <v>-3</v>
      </c>
      <c r="R19">
        <v>1</v>
      </c>
      <c r="S19">
        <v>1</v>
      </c>
      <c r="T19">
        <v>1</v>
      </c>
      <c r="U19">
        <v>1</v>
      </c>
      <c r="V19" t="s">
        <v>20</v>
      </c>
      <c r="W19">
        <v>1</v>
      </c>
      <c r="X19" t="s">
        <v>27</v>
      </c>
      <c r="Y19" t="s">
        <v>28</v>
      </c>
      <c r="Z19">
        <v>0.89580000000000004</v>
      </c>
    </row>
    <row r="20" spans="1:26" x14ac:dyDescent="0.35">
      <c r="A20" s="2">
        <v>44523.42287037037</v>
      </c>
      <c r="B20" s="3">
        <v>5.6</v>
      </c>
      <c r="C20" s="3">
        <f>(11.44+12.51)/2</f>
        <v>11.975</v>
      </c>
      <c r="D20" s="3">
        <f>(10.38+10.19)/2</f>
        <v>10.285</v>
      </c>
      <c r="E20" s="3">
        <f>(1.52+2.22)/2</f>
        <v>1.87</v>
      </c>
      <c r="F20" s="3">
        <f>(76.53+68.65)/2</f>
        <v>72.59</v>
      </c>
      <c r="G20" s="3">
        <v>0.01</v>
      </c>
      <c r="H20" s="3">
        <f>(11+13.06)/2</f>
        <v>12.030000000000001</v>
      </c>
      <c r="I20">
        <v>0</v>
      </c>
      <c r="J20">
        <v>35</v>
      </c>
      <c r="K20">
        <v>176</v>
      </c>
      <c r="L20">
        <v>67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19</v>
      </c>
      <c r="W20">
        <v>1</v>
      </c>
      <c r="X20" t="s">
        <v>23</v>
      </c>
      <c r="Y20" t="s">
        <v>28</v>
      </c>
      <c r="Z20">
        <v>1.1129</v>
      </c>
    </row>
    <row r="21" spans="1:26" x14ac:dyDescent="0.35">
      <c r="A21" s="2">
        <v>44523.425000000003</v>
      </c>
      <c r="B21" s="3">
        <v>5.9</v>
      </c>
      <c r="C21" s="3">
        <v>11</v>
      </c>
      <c r="D21" s="3">
        <v>8.8800000000000008</v>
      </c>
      <c r="E21" s="3">
        <v>2.58</v>
      </c>
      <c r="F21" s="3">
        <v>84.67</v>
      </c>
      <c r="G21" s="3">
        <v>0.03</v>
      </c>
      <c r="H21" s="3">
        <v>10.130000000000001</v>
      </c>
      <c r="I21">
        <v>0</v>
      </c>
      <c r="J21">
        <v>27</v>
      </c>
      <c r="K21">
        <v>160</v>
      </c>
      <c r="L21">
        <v>60</v>
      </c>
      <c r="M21">
        <v>1</v>
      </c>
      <c r="N21">
        <v>1</v>
      </c>
      <c r="O21">
        <v>-1</v>
      </c>
      <c r="P21">
        <v>2</v>
      </c>
      <c r="Q21">
        <v>2</v>
      </c>
      <c r="R21">
        <v>1</v>
      </c>
      <c r="S21">
        <v>1</v>
      </c>
      <c r="T21">
        <v>0</v>
      </c>
      <c r="U21">
        <v>0</v>
      </c>
      <c r="V21" t="s">
        <v>19</v>
      </c>
      <c r="W21">
        <v>1</v>
      </c>
      <c r="X21" t="s">
        <v>24</v>
      </c>
      <c r="Y21" t="s">
        <v>29</v>
      </c>
      <c r="Z21">
        <v>1.2298</v>
      </c>
    </row>
    <row r="22" spans="1:26" x14ac:dyDescent="0.35">
      <c r="A22" s="2">
        <v>44523.427094907413</v>
      </c>
      <c r="B22" s="3">
        <v>5.9</v>
      </c>
      <c r="C22" s="3">
        <f>(12.72+11.52)/2</f>
        <v>12.120000000000001</v>
      </c>
      <c r="D22" s="3">
        <f>(10.13+10.38)/2</f>
        <v>10.255000000000001</v>
      </c>
      <c r="E22" s="3">
        <f>(1.76+2.34)/2</f>
        <v>2.0499999999999998</v>
      </c>
      <c r="F22" s="3">
        <f>(77.11+68.96)/2</f>
        <v>73.034999999999997</v>
      </c>
      <c r="G22" s="3">
        <v>0</v>
      </c>
      <c r="H22" s="3">
        <f>(13.25+11)/2</f>
        <v>12.125</v>
      </c>
      <c r="I22">
        <v>0</v>
      </c>
      <c r="J22">
        <v>55</v>
      </c>
      <c r="K22">
        <v>170</v>
      </c>
      <c r="L22">
        <v>74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19</v>
      </c>
      <c r="W22">
        <v>1</v>
      </c>
      <c r="X22" t="s">
        <v>23</v>
      </c>
      <c r="Y22" t="s">
        <v>28</v>
      </c>
      <c r="Z22">
        <v>0.97929999999999995</v>
      </c>
    </row>
    <row r="23" spans="1:26" x14ac:dyDescent="0.35">
      <c r="A23" s="2">
        <v>44523.427777777782</v>
      </c>
      <c r="B23" s="3">
        <v>6</v>
      </c>
      <c r="C23" s="3">
        <v>11.51</v>
      </c>
      <c r="D23" s="3">
        <v>9.5</v>
      </c>
      <c r="E23" s="3">
        <v>2.42</v>
      </c>
      <c r="F23" s="3">
        <v>78.53</v>
      </c>
      <c r="G23" s="3">
        <v>0.12</v>
      </c>
      <c r="H23" s="3">
        <v>10.5</v>
      </c>
      <c r="I23">
        <v>1</v>
      </c>
      <c r="J23">
        <v>26</v>
      </c>
      <c r="K23">
        <v>190</v>
      </c>
      <c r="L23">
        <v>90</v>
      </c>
      <c r="M23">
        <v>0</v>
      </c>
      <c r="N23">
        <v>2</v>
      </c>
      <c r="O23">
        <v>0</v>
      </c>
      <c r="P23">
        <v>1</v>
      </c>
      <c r="Q23">
        <v>2</v>
      </c>
      <c r="R23">
        <v>0</v>
      </c>
      <c r="S23">
        <v>0</v>
      </c>
      <c r="T23">
        <v>0</v>
      </c>
      <c r="U23">
        <v>0</v>
      </c>
      <c r="V23" t="s">
        <v>19</v>
      </c>
      <c r="W23">
        <v>1</v>
      </c>
      <c r="X23" t="s">
        <v>25</v>
      </c>
      <c r="Y23" t="s">
        <v>28</v>
      </c>
      <c r="Z23">
        <v>1.2381500000000001</v>
      </c>
    </row>
    <row r="24" spans="1:26" x14ac:dyDescent="0.35">
      <c r="A24" s="2">
        <v>44523.427777777782</v>
      </c>
      <c r="B24" s="3">
        <v>6</v>
      </c>
      <c r="C24" s="3">
        <v>11.51</v>
      </c>
      <c r="D24" s="3">
        <v>9.5</v>
      </c>
      <c r="E24" s="3">
        <v>2.42</v>
      </c>
      <c r="F24" s="3">
        <v>78.53</v>
      </c>
      <c r="G24" s="3">
        <v>0.12</v>
      </c>
      <c r="H24" s="3">
        <v>10.5</v>
      </c>
      <c r="I24">
        <v>0</v>
      </c>
      <c r="J24">
        <v>85</v>
      </c>
      <c r="K24">
        <v>163</v>
      </c>
      <c r="L24">
        <v>76</v>
      </c>
      <c r="M24">
        <v>1</v>
      </c>
      <c r="N24">
        <v>-3</v>
      </c>
      <c r="O24">
        <v>0</v>
      </c>
      <c r="P24">
        <v>-3</v>
      </c>
      <c r="Q24">
        <v>-3</v>
      </c>
      <c r="R24">
        <v>0</v>
      </c>
      <c r="S24">
        <v>0</v>
      </c>
      <c r="T24">
        <v>0</v>
      </c>
      <c r="U24">
        <v>0</v>
      </c>
      <c r="V24" t="s">
        <v>19</v>
      </c>
      <c r="W24">
        <v>1</v>
      </c>
      <c r="X24" t="s">
        <v>25</v>
      </c>
      <c r="Y24" t="s">
        <v>29</v>
      </c>
      <c r="Z24">
        <v>1.2882499999999999</v>
      </c>
    </row>
    <row r="25" spans="1:26" x14ac:dyDescent="0.35">
      <c r="A25" s="2">
        <v>44523.42895833333</v>
      </c>
      <c r="B25" s="3">
        <v>6</v>
      </c>
      <c r="C25" s="3">
        <f>(11.33+11.04)/2</f>
        <v>11.184999999999999</v>
      </c>
      <c r="D25" s="3">
        <f>(9.94+10.44)/2</f>
        <v>10.19</v>
      </c>
      <c r="E25" s="3">
        <f>(1.92+1.29)/2</f>
        <v>1.605</v>
      </c>
      <c r="F25" s="3">
        <f>(82.02+82.47)/2</f>
        <v>82.245000000000005</v>
      </c>
      <c r="G25" s="3">
        <v>0.04</v>
      </c>
      <c r="H25" s="3">
        <f>(10.69+11.19)/2</f>
        <v>10.94</v>
      </c>
      <c r="I25">
        <v>0</v>
      </c>
      <c r="J25">
        <v>83</v>
      </c>
      <c r="K25">
        <v>157</v>
      </c>
      <c r="L25">
        <v>53</v>
      </c>
      <c r="M25">
        <v>-1</v>
      </c>
      <c r="N25">
        <v>-2</v>
      </c>
      <c r="O25">
        <v>-2</v>
      </c>
      <c r="P25">
        <v>-3</v>
      </c>
      <c r="Q25">
        <v>-3</v>
      </c>
      <c r="R25">
        <v>1</v>
      </c>
      <c r="S25">
        <v>0</v>
      </c>
      <c r="T25">
        <v>1</v>
      </c>
      <c r="U25">
        <v>1</v>
      </c>
      <c r="V25" t="s">
        <v>20</v>
      </c>
      <c r="W25">
        <v>1</v>
      </c>
      <c r="X25" t="s">
        <v>26</v>
      </c>
      <c r="Y25" t="s">
        <v>29</v>
      </c>
      <c r="Z25">
        <v>1.1963999999999999</v>
      </c>
    </row>
    <row r="26" spans="1:26" x14ac:dyDescent="0.35">
      <c r="A26" s="2">
        <v>44523.429861111108</v>
      </c>
      <c r="B26" s="3">
        <v>6</v>
      </c>
      <c r="C26" s="3">
        <f>(11.31+11.23)/2</f>
        <v>11.27</v>
      </c>
      <c r="D26" s="3">
        <f>(10.38+9.94)/2</f>
        <v>10.16</v>
      </c>
      <c r="E26" s="3">
        <f>(1.51+1.97)/2</f>
        <v>1.74</v>
      </c>
      <c r="F26" s="3">
        <f>(83.49+81.89)/2</f>
        <v>82.69</v>
      </c>
      <c r="G26" s="3">
        <v>7.0000000000000007E-2</v>
      </c>
      <c r="H26" s="3">
        <f>(11.25+10.75)/2</f>
        <v>11</v>
      </c>
      <c r="I26">
        <v>0</v>
      </c>
      <c r="J26">
        <v>86</v>
      </c>
      <c r="K26">
        <v>164</v>
      </c>
      <c r="L26">
        <v>61</v>
      </c>
      <c r="M26">
        <v>0</v>
      </c>
      <c r="N26">
        <v>-3</v>
      </c>
      <c r="O26">
        <v>-3</v>
      </c>
      <c r="P26">
        <v>-3</v>
      </c>
      <c r="Q26">
        <v>-3</v>
      </c>
      <c r="R26">
        <v>0</v>
      </c>
      <c r="S26">
        <v>0</v>
      </c>
      <c r="T26">
        <v>0</v>
      </c>
      <c r="U26">
        <v>0</v>
      </c>
      <c r="V26" t="s">
        <v>20</v>
      </c>
      <c r="W26">
        <v>1</v>
      </c>
      <c r="X26" t="s">
        <v>26</v>
      </c>
      <c r="Y26" t="s">
        <v>28</v>
      </c>
      <c r="Z26">
        <v>1.2464999999999999</v>
      </c>
    </row>
    <row r="27" spans="1:26" x14ac:dyDescent="0.35">
      <c r="A27" s="2">
        <v>44523.432453703703</v>
      </c>
      <c r="B27" s="3">
        <v>6.1</v>
      </c>
      <c r="C27" s="3">
        <f>(11.39+11.44)/2</f>
        <v>11.414999999999999</v>
      </c>
      <c r="D27" s="3">
        <f>(10.06+10.56)/2</f>
        <v>10.31</v>
      </c>
      <c r="E27" s="3">
        <f>(1.65+2.07)/2</f>
        <v>1.8599999999999999</v>
      </c>
      <c r="F27" s="3">
        <f>(82.98+83.24)/2</f>
        <v>83.11</v>
      </c>
      <c r="G27" s="3">
        <v>0.03</v>
      </c>
      <c r="H27" s="3">
        <f>(10.88+11.25)/2</f>
        <v>11.065000000000001</v>
      </c>
      <c r="I27">
        <v>0</v>
      </c>
      <c r="J27">
        <v>83</v>
      </c>
      <c r="K27">
        <v>169</v>
      </c>
      <c r="L27">
        <v>70</v>
      </c>
      <c r="M27">
        <v>-1</v>
      </c>
      <c r="N27">
        <v>-3</v>
      </c>
      <c r="O27">
        <v>-3</v>
      </c>
      <c r="P27">
        <v>-3</v>
      </c>
      <c r="Q27">
        <v>-3</v>
      </c>
      <c r="R27">
        <v>1</v>
      </c>
      <c r="S27">
        <v>1</v>
      </c>
      <c r="T27">
        <v>1</v>
      </c>
      <c r="U27">
        <v>1</v>
      </c>
      <c r="V27" t="s">
        <v>20</v>
      </c>
      <c r="W27">
        <v>1</v>
      </c>
      <c r="X27" t="s">
        <v>26</v>
      </c>
      <c r="Y27" t="s">
        <v>28</v>
      </c>
      <c r="Z27">
        <v>1.1129</v>
      </c>
    </row>
    <row r="28" spans="1:26" x14ac:dyDescent="0.35">
      <c r="A28" s="2">
        <v>44523.437164351853</v>
      </c>
      <c r="B28" s="3">
        <v>6.3</v>
      </c>
      <c r="C28" s="3">
        <v>11.76</v>
      </c>
      <c r="D28" s="3">
        <v>9.56</v>
      </c>
      <c r="E28" s="3">
        <v>2.83</v>
      </c>
      <c r="F28" s="3">
        <v>86.16</v>
      </c>
      <c r="G28" s="3">
        <v>0.06</v>
      </c>
      <c r="H28" s="3">
        <v>10.69</v>
      </c>
      <c r="I28">
        <v>0</v>
      </c>
      <c r="J28">
        <v>49</v>
      </c>
      <c r="K28">
        <v>160</v>
      </c>
      <c r="L28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20</v>
      </c>
      <c r="W28">
        <v>1</v>
      </c>
      <c r="X28" t="s">
        <v>24</v>
      </c>
      <c r="Y28" t="s">
        <v>28</v>
      </c>
      <c r="Z28">
        <v>1.0794999999999999</v>
      </c>
    </row>
    <row r="29" spans="1:26" x14ac:dyDescent="0.35">
      <c r="A29" s="2">
        <v>44523.4375</v>
      </c>
      <c r="B29" s="3">
        <v>6.3</v>
      </c>
      <c r="C29" s="3">
        <v>12.45</v>
      </c>
      <c r="D29" s="3">
        <v>10.25</v>
      </c>
      <c r="E29" s="3">
        <v>2.63</v>
      </c>
      <c r="F29" s="3">
        <v>79.760000000000005</v>
      </c>
      <c r="G29" s="3">
        <v>0.11</v>
      </c>
      <c r="H29" s="3">
        <v>11.12</v>
      </c>
      <c r="I29">
        <v>0</v>
      </c>
      <c r="J29">
        <v>71</v>
      </c>
      <c r="K29">
        <v>162</v>
      </c>
      <c r="L29">
        <v>51</v>
      </c>
      <c r="M29">
        <v>1</v>
      </c>
      <c r="N29">
        <v>0</v>
      </c>
      <c r="O29">
        <v>0</v>
      </c>
      <c r="P29">
        <v>0</v>
      </c>
      <c r="Q29">
        <v>-3</v>
      </c>
      <c r="R29">
        <v>1</v>
      </c>
      <c r="S29">
        <v>0</v>
      </c>
      <c r="T29">
        <v>1</v>
      </c>
      <c r="U29">
        <v>2</v>
      </c>
      <c r="V29" t="s">
        <v>20</v>
      </c>
      <c r="W29">
        <v>1</v>
      </c>
      <c r="X29" t="s">
        <v>25</v>
      </c>
      <c r="Y29" t="s">
        <v>28</v>
      </c>
      <c r="Z29">
        <v>1.15465</v>
      </c>
    </row>
    <row r="30" spans="1:26" x14ac:dyDescent="0.35">
      <c r="A30" s="2">
        <v>44523.437824074077</v>
      </c>
      <c r="B30" s="3">
        <v>6.2</v>
      </c>
      <c r="C30" s="3">
        <v>11.86</v>
      </c>
      <c r="D30" s="3">
        <v>9.69</v>
      </c>
      <c r="E30" s="3">
        <v>2.74</v>
      </c>
      <c r="F30" s="3">
        <v>85.8</v>
      </c>
      <c r="G30" s="3">
        <v>0.06</v>
      </c>
      <c r="H30" s="3">
        <v>10.69</v>
      </c>
      <c r="I30">
        <v>1</v>
      </c>
      <c r="J30">
        <v>52</v>
      </c>
      <c r="K30">
        <v>186</v>
      </c>
      <c r="L30">
        <v>95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20</v>
      </c>
      <c r="W30">
        <v>1</v>
      </c>
      <c r="X30" t="s">
        <v>24</v>
      </c>
      <c r="Y30" t="s">
        <v>29</v>
      </c>
      <c r="Z30">
        <v>1.07115</v>
      </c>
    </row>
    <row r="31" spans="1:26" x14ac:dyDescent="0.35">
      <c r="A31" s="2">
        <v>44523.467361111107</v>
      </c>
      <c r="B31" s="3">
        <v>6.3</v>
      </c>
      <c r="C31" s="3">
        <f>(13.49+15.62)/2</f>
        <v>14.555</v>
      </c>
      <c r="D31" s="3">
        <f>(11.25+12.63)/2</f>
        <v>11.940000000000001</v>
      </c>
      <c r="E31" s="3">
        <f>(2.96+2.69)/2</f>
        <v>2.8250000000000002</v>
      </c>
      <c r="F31" s="3">
        <f>(72.78+64.61)/2</f>
        <v>68.694999999999993</v>
      </c>
      <c r="G31" s="3">
        <v>0.02</v>
      </c>
      <c r="H31" s="3">
        <f>(12.37+15.5)/2</f>
        <v>13.934999999999999</v>
      </c>
      <c r="I31">
        <v>1</v>
      </c>
      <c r="J31">
        <v>35</v>
      </c>
      <c r="K31">
        <v>177</v>
      </c>
      <c r="L31">
        <v>78</v>
      </c>
      <c r="M31">
        <v>1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19</v>
      </c>
      <c r="W31">
        <v>1</v>
      </c>
      <c r="X31" t="s">
        <v>23</v>
      </c>
      <c r="Y31" t="s">
        <v>29</v>
      </c>
      <c r="Z31">
        <v>1.3049500000000001</v>
      </c>
    </row>
    <row r="32" spans="1:26" x14ac:dyDescent="0.35">
      <c r="A32" s="2">
        <v>44523.469444444447</v>
      </c>
      <c r="B32" s="3">
        <v>6.3</v>
      </c>
      <c r="C32" s="3">
        <f>(14.21+13.06)/2</f>
        <v>13.635000000000002</v>
      </c>
      <c r="D32" s="3">
        <f>(11.88+11.31)/2</f>
        <v>11.595000000000001</v>
      </c>
      <c r="E32" s="3">
        <f>(3.26+3.22)/2</f>
        <v>3.24</v>
      </c>
      <c r="F32" s="3">
        <f>(76.36+75.51)/2</f>
        <v>75.935000000000002</v>
      </c>
      <c r="G32" s="3">
        <v>0.03</v>
      </c>
      <c r="H32" s="3">
        <f>(13.31+12.63)/2</f>
        <v>12.97</v>
      </c>
      <c r="I32">
        <v>1</v>
      </c>
      <c r="J32">
        <v>35</v>
      </c>
      <c r="K32">
        <v>173</v>
      </c>
      <c r="L32">
        <v>65</v>
      </c>
      <c r="M32">
        <v>1</v>
      </c>
      <c r="N32">
        <v>-2</v>
      </c>
      <c r="O32">
        <v>-2</v>
      </c>
      <c r="P32">
        <v>-2</v>
      </c>
      <c r="Q32">
        <v>-2</v>
      </c>
      <c r="R32">
        <v>2</v>
      </c>
      <c r="S32">
        <v>2</v>
      </c>
      <c r="T32">
        <v>2</v>
      </c>
      <c r="U32">
        <v>2</v>
      </c>
      <c r="V32" t="s">
        <v>19</v>
      </c>
      <c r="W32">
        <v>1</v>
      </c>
      <c r="X32" t="s">
        <v>26</v>
      </c>
      <c r="Y32" t="s">
        <v>28</v>
      </c>
      <c r="Z32">
        <v>1.2632000000000001</v>
      </c>
    </row>
    <row r="33" spans="1:26" x14ac:dyDescent="0.35">
      <c r="A33" s="2">
        <v>44523.472222222219</v>
      </c>
      <c r="B33" s="3">
        <v>6.4</v>
      </c>
      <c r="C33" s="3">
        <v>14.61</v>
      </c>
      <c r="D33" s="3">
        <v>10.94</v>
      </c>
      <c r="E33" s="3">
        <v>4.79</v>
      </c>
      <c r="F33" s="3">
        <v>77.09</v>
      </c>
      <c r="G33" s="3">
        <v>0.1</v>
      </c>
      <c r="H33" s="3">
        <v>12.63</v>
      </c>
      <c r="I33">
        <v>1</v>
      </c>
      <c r="J33">
        <v>47</v>
      </c>
      <c r="K33">
        <v>183</v>
      </c>
      <c r="L33">
        <v>90</v>
      </c>
      <c r="M33">
        <v>-1</v>
      </c>
      <c r="N33">
        <v>2</v>
      </c>
      <c r="O33">
        <v>2</v>
      </c>
      <c r="P33">
        <v>2</v>
      </c>
      <c r="Q33">
        <v>2</v>
      </c>
      <c r="R33">
        <v>0</v>
      </c>
      <c r="S33">
        <v>0</v>
      </c>
      <c r="T33">
        <v>0</v>
      </c>
      <c r="U33">
        <v>0</v>
      </c>
      <c r="V33" t="s">
        <v>19</v>
      </c>
      <c r="W33">
        <v>1</v>
      </c>
      <c r="X33" t="s">
        <v>24</v>
      </c>
      <c r="Y33" t="s">
        <v>28</v>
      </c>
      <c r="Z33">
        <v>1.3383499999999999</v>
      </c>
    </row>
    <row r="34" spans="1:26" x14ac:dyDescent="0.35">
      <c r="A34" s="2">
        <v>44523.472233796303</v>
      </c>
      <c r="B34" s="3">
        <v>6.4</v>
      </c>
      <c r="C34" s="3">
        <v>14.61</v>
      </c>
      <c r="D34" s="3">
        <v>10.94</v>
      </c>
      <c r="E34" s="3">
        <v>4.79</v>
      </c>
      <c r="F34" s="3">
        <v>77.09</v>
      </c>
      <c r="G34" s="3">
        <v>0.1</v>
      </c>
      <c r="H34" s="3">
        <v>12.63</v>
      </c>
      <c r="I34">
        <v>0</v>
      </c>
      <c r="J34">
        <v>60</v>
      </c>
      <c r="K34">
        <v>178</v>
      </c>
      <c r="L34">
        <v>84</v>
      </c>
      <c r="M34">
        <v>0</v>
      </c>
      <c r="N34">
        <v>0</v>
      </c>
      <c r="O34">
        <v>0</v>
      </c>
      <c r="P34">
        <v>-2</v>
      </c>
      <c r="Q34">
        <v>-1</v>
      </c>
      <c r="R34">
        <v>0</v>
      </c>
      <c r="S34">
        <v>0</v>
      </c>
      <c r="T34">
        <v>0</v>
      </c>
      <c r="U34">
        <v>0</v>
      </c>
      <c r="V34" t="s">
        <v>19</v>
      </c>
      <c r="W34">
        <v>1</v>
      </c>
      <c r="X34" t="s">
        <v>24</v>
      </c>
      <c r="Y34" t="s">
        <v>29</v>
      </c>
      <c r="Z34">
        <v>1.07115</v>
      </c>
    </row>
    <row r="35" spans="1:26" x14ac:dyDescent="0.35">
      <c r="A35" s="2">
        <v>44523.476631944453</v>
      </c>
      <c r="B35" s="3">
        <v>6.8</v>
      </c>
      <c r="C35" s="3">
        <v>13.54</v>
      </c>
      <c r="D35" s="3">
        <v>9.81</v>
      </c>
      <c r="E35" s="3">
        <v>4.7699999999999996</v>
      </c>
      <c r="F35" s="3">
        <v>74.150000000000006</v>
      </c>
      <c r="G35" s="3">
        <v>0.35</v>
      </c>
      <c r="H35" s="3">
        <v>13.56</v>
      </c>
      <c r="I35">
        <v>0</v>
      </c>
      <c r="J35">
        <v>23</v>
      </c>
      <c r="K35">
        <v>168</v>
      </c>
      <c r="L35">
        <v>72</v>
      </c>
      <c r="M35">
        <v>1</v>
      </c>
      <c r="N35">
        <v>-1</v>
      </c>
      <c r="O35">
        <v>0</v>
      </c>
      <c r="P35">
        <v>-2</v>
      </c>
      <c r="Q35">
        <v>-3</v>
      </c>
      <c r="R35">
        <v>0</v>
      </c>
      <c r="S35">
        <v>0</v>
      </c>
      <c r="T35">
        <v>0</v>
      </c>
      <c r="U35">
        <v>0</v>
      </c>
      <c r="V35" t="s">
        <v>20</v>
      </c>
      <c r="W35">
        <v>1</v>
      </c>
      <c r="X35" t="s">
        <v>22</v>
      </c>
      <c r="Y35" t="s">
        <v>29</v>
      </c>
      <c r="Z35">
        <v>1.15465</v>
      </c>
    </row>
    <row r="36" spans="1:26" x14ac:dyDescent="0.35">
      <c r="A36" s="2">
        <v>44523.477083333331</v>
      </c>
      <c r="B36" s="3">
        <v>6.8</v>
      </c>
      <c r="C36" s="3">
        <f>(14.44+13.17)/2</f>
        <v>13.805</v>
      </c>
      <c r="D36" s="3">
        <f>(11.56+11.75)/2</f>
        <v>11.655000000000001</v>
      </c>
      <c r="E36" s="3">
        <f>(2.79+3.79)/2</f>
        <v>3.29</v>
      </c>
      <c r="F36" s="3">
        <f>(74.36+76.4)/2</f>
        <v>75.38</v>
      </c>
      <c r="G36" s="3">
        <v>0.03</v>
      </c>
      <c r="H36" s="3">
        <f>(12.75+13.62)/2</f>
        <v>13.184999999999999</v>
      </c>
      <c r="I36">
        <v>0</v>
      </c>
      <c r="J36">
        <v>33</v>
      </c>
      <c r="K36">
        <v>172</v>
      </c>
      <c r="L36">
        <v>62</v>
      </c>
      <c r="M36">
        <v>1</v>
      </c>
      <c r="N36">
        <v>-3</v>
      </c>
      <c r="O36">
        <v>2</v>
      </c>
      <c r="P36">
        <v>-3</v>
      </c>
      <c r="Q36">
        <v>-3</v>
      </c>
      <c r="R36">
        <v>0</v>
      </c>
      <c r="S36">
        <v>0</v>
      </c>
      <c r="T36">
        <v>0</v>
      </c>
      <c r="U36">
        <v>0</v>
      </c>
      <c r="V36" t="s">
        <v>19</v>
      </c>
      <c r="W36">
        <v>1</v>
      </c>
      <c r="X36" t="s">
        <v>26</v>
      </c>
      <c r="Y36" t="s">
        <v>28</v>
      </c>
      <c r="Z36">
        <v>1.3049500000000001</v>
      </c>
    </row>
    <row r="37" spans="1:26" x14ac:dyDescent="0.35">
      <c r="A37" s="2">
        <v>44523.479259259257</v>
      </c>
      <c r="B37" s="3">
        <v>6.8</v>
      </c>
      <c r="C37" s="3">
        <v>15.48</v>
      </c>
      <c r="D37" s="3">
        <v>11.38</v>
      </c>
      <c r="E37" s="3">
        <v>5.44</v>
      </c>
      <c r="F37" s="3">
        <v>75.400000000000006</v>
      </c>
      <c r="G37" s="3">
        <v>0.1</v>
      </c>
      <c r="H37" s="3">
        <v>12.88</v>
      </c>
      <c r="I37">
        <v>1</v>
      </c>
      <c r="J37">
        <v>45</v>
      </c>
      <c r="K37">
        <v>175</v>
      </c>
      <c r="L37">
        <v>130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20</v>
      </c>
      <c r="W37">
        <v>1</v>
      </c>
      <c r="X37" t="s">
        <v>24</v>
      </c>
      <c r="Y37" t="s">
        <v>28</v>
      </c>
      <c r="Z37">
        <v>0.89580000000000004</v>
      </c>
    </row>
    <row r="38" spans="1:26" x14ac:dyDescent="0.35">
      <c r="A38" s="2">
        <v>44523.48333333333</v>
      </c>
      <c r="B38" s="3">
        <v>6.8</v>
      </c>
      <c r="C38" s="3">
        <f>(16.04+14.41)/2</f>
        <v>15.225</v>
      </c>
      <c r="D38" s="3">
        <f>(12.81+11.81)/2</f>
        <v>12.31</v>
      </c>
      <c r="E38" s="3">
        <f>(3.12+2.93)/2</f>
        <v>3.0250000000000004</v>
      </c>
      <c r="F38" s="3">
        <f>(71.29+73.12)/2</f>
        <v>72.205000000000013</v>
      </c>
      <c r="G38" s="3">
        <v>0.01</v>
      </c>
      <c r="H38" s="3">
        <f>(13.31+16.37)/2</f>
        <v>14.84</v>
      </c>
      <c r="I38">
        <v>1</v>
      </c>
      <c r="J38">
        <v>34</v>
      </c>
      <c r="K38">
        <v>165</v>
      </c>
      <c r="L38">
        <v>62</v>
      </c>
      <c r="M38">
        <v>-1</v>
      </c>
      <c r="N38">
        <v>0</v>
      </c>
      <c r="O38">
        <v>0</v>
      </c>
      <c r="P38">
        <v>-1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19</v>
      </c>
      <c r="W38">
        <v>1</v>
      </c>
      <c r="X38" t="s">
        <v>23</v>
      </c>
      <c r="Y38" t="s">
        <v>29</v>
      </c>
      <c r="Z38">
        <v>1.25485</v>
      </c>
    </row>
    <row r="39" spans="1:26" x14ac:dyDescent="0.35">
      <c r="A39" s="2">
        <v>44523.494444444441</v>
      </c>
      <c r="B39" s="3">
        <v>6.4</v>
      </c>
      <c r="C39" s="3">
        <v>14.5</v>
      </c>
      <c r="D39" s="3">
        <v>11.81</v>
      </c>
      <c r="E39" s="3">
        <v>2.96</v>
      </c>
      <c r="F39" s="3">
        <v>72.59</v>
      </c>
      <c r="G39" s="3">
        <v>0.09</v>
      </c>
      <c r="H39" s="3">
        <v>13.31</v>
      </c>
      <c r="I39">
        <v>0</v>
      </c>
      <c r="J39">
        <v>77</v>
      </c>
      <c r="K39">
        <v>170</v>
      </c>
      <c r="L39">
        <v>57</v>
      </c>
      <c r="M39">
        <v>0</v>
      </c>
      <c r="N39">
        <v>2</v>
      </c>
      <c r="O39">
        <v>2</v>
      </c>
      <c r="P39">
        <v>-3</v>
      </c>
      <c r="Q39">
        <v>2</v>
      </c>
      <c r="R39">
        <v>0</v>
      </c>
      <c r="S39">
        <v>0</v>
      </c>
      <c r="T39">
        <v>0</v>
      </c>
      <c r="U39">
        <v>0</v>
      </c>
      <c r="V39" t="s">
        <v>19</v>
      </c>
      <c r="W39">
        <v>1</v>
      </c>
      <c r="X39" t="s">
        <v>25</v>
      </c>
      <c r="Y39" t="s">
        <v>28</v>
      </c>
      <c r="Z39">
        <v>1.33</v>
      </c>
    </row>
    <row r="40" spans="1:26" x14ac:dyDescent="0.35">
      <c r="A40" s="2">
        <v>44523.511631944442</v>
      </c>
      <c r="B40" s="3">
        <v>6.5</v>
      </c>
      <c r="C40" s="3">
        <f>(13.08+13.14)/2</f>
        <v>13.11</v>
      </c>
      <c r="D40" s="3">
        <f>(10.5+12.56)/2</f>
        <v>11.530000000000001</v>
      </c>
      <c r="E40" s="3">
        <f>(2.68+1.92)/2</f>
        <v>2.2999999999999998</v>
      </c>
      <c r="F40" s="3">
        <f>(72.84+73.33)/2</f>
        <v>73.085000000000008</v>
      </c>
      <c r="G40" s="3">
        <v>0.03</v>
      </c>
      <c r="H40" s="3">
        <f>(12.69+13.19)/2</f>
        <v>12.94</v>
      </c>
      <c r="I40">
        <v>1</v>
      </c>
      <c r="J40">
        <v>25</v>
      </c>
      <c r="K40">
        <v>198</v>
      </c>
      <c r="L40">
        <v>98</v>
      </c>
      <c r="M40">
        <v>2</v>
      </c>
      <c r="N40">
        <v>0</v>
      </c>
      <c r="O40">
        <v>0</v>
      </c>
      <c r="P40">
        <v>0</v>
      </c>
      <c r="Q40">
        <v>-1</v>
      </c>
      <c r="R40">
        <v>0</v>
      </c>
      <c r="S40">
        <v>0</v>
      </c>
      <c r="T40">
        <v>0</v>
      </c>
      <c r="U40">
        <v>0</v>
      </c>
      <c r="V40" t="s">
        <v>19</v>
      </c>
      <c r="W40">
        <v>1</v>
      </c>
      <c r="X40" t="s">
        <v>26</v>
      </c>
      <c r="Y40" t="s">
        <v>29</v>
      </c>
      <c r="Z40">
        <v>0.97929999999999995</v>
      </c>
    </row>
    <row r="41" spans="1:26" x14ac:dyDescent="0.35">
      <c r="A41" s="2">
        <v>44523.512592592589</v>
      </c>
      <c r="B41" s="3">
        <v>6.5</v>
      </c>
      <c r="C41" s="3">
        <v>12.52</v>
      </c>
      <c r="D41" s="3">
        <v>9.94</v>
      </c>
      <c r="E41" s="3">
        <v>2.63</v>
      </c>
      <c r="F41" s="3">
        <v>72.930000000000007</v>
      </c>
      <c r="G41" s="3">
        <v>0.09</v>
      </c>
      <c r="H41" s="3">
        <v>12</v>
      </c>
      <c r="I41">
        <v>0</v>
      </c>
      <c r="J41">
        <v>63</v>
      </c>
      <c r="K41">
        <v>172</v>
      </c>
      <c r="L41">
        <v>63</v>
      </c>
      <c r="M41">
        <v>1</v>
      </c>
      <c r="N41">
        <v>0</v>
      </c>
      <c r="O41">
        <v>0</v>
      </c>
      <c r="P41">
        <v>-1</v>
      </c>
      <c r="Q41">
        <v>-1</v>
      </c>
      <c r="R41">
        <v>0</v>
      </c>
      <c r="S41">
        <v>0</v>
      </c>
      <c r="T41">
        <v>0</v>
      </c>
      <c r="U41">
        <v>0</v>
      </c>
      <c r="V41" t="s">
        <v>19</v>
      </c>
      <c r="W41">
        <v>1</v>
      </c>
      <c r="X41" t="s">
        <v>25</v>
      </c>
      <c r="Y41" t="s">
        <v>29</v>
      </c>
      <c r="Z41">
        <v>1.163</v>
      </c>
    </row>
    <row r="42" spans="1:26" x14ac:dyDescent="0.35">
      <c r="A42" s="2">
        <v>44523.513472222221</v>
      </c>
      <c r="B42" s="3">
        <v>6.6</v>
      </c>
      <c r="C42" s="3">
        <v>12.18</v>
      </c>
      <c r="D42" s="3">
        <v>9.94</v>
      </c>
      <c r="E42" s="3">
        <v>2.86</v>
      </c>
      <c r="F42" s="3">
        <v>76.62</v>
      </c>
      <c r="G42" s="3">
        <v>7.0000000000000007E-2</v>
      </c>
      <c r="H42" s="3">
        <v>11.69</v>
      </c>
      <c r="I42">
        <v>1</v>
      </c>
      <c r="J42">
        <v>27</v>
      </c>
      <c r="K42">
        <v>183</v>
      </c>
      <c r="L42">
        <v>110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19</v>
      </c>
      <c r="W42">
        <v>1</v>
      </c>
      <c r="X42" t="s">
        <v>24</v>
      </c>
      <c r="Y42" t="s">
        <v>28</v>
      </c>
      <c r="Z42">
        <v>0.86240000000000006</v>
      </c>
    </row>
    <row r="43" spans="1:26" x14ac:dyDescent="0.35">
      <c r="A43" s="2">
        <v>44523.515277777777</v>
      </c>
      <c r="B43" s="3">
        <v>6.6</v>
      </c>
      <c r="C43" s="3">
        <v>12.7</v>
      </c>
      <c r="D43" s="3">
        <v>10.38</v>
      </c>
      <c r="E43" s="3">
        <v>2.41</v>
      </c>
      <c r="F43" s="3">
        <v>73.900000000000006</v>
      </c>
      <c r="G43" s="3">
        <v>0.1</v>
      </c>
      <c r="H43" s="3">
        <v>12.06</v>
      </c>
      <c r="I43">
        <v>0</v>
      </c>
      <c r="J43">
        <v>85</v>
      </c>
      <c r="K43">
        <v>160</v>
      </c>
      <c r="L43">
        <v>62</v>
      </c>
      <c r="M43">
        <v>0</v>
      </c>
      <c r="N43">
        <v>-3</v>
      </c>
      <c r="O43">
        <v>0</v>
      </c>
      <c r="P43">
        <v>0</v>
      </c>
      <c r="Q43">
        <v>0</v>
      </c>
      <c r="R43">
        <v>2</v>
      </c>
      <c r="S43">
        <v>2</v>
      </c>
      <c r="T43">
        <v>2</v>
      </c>
      <c r="U43">
        <v>2</v>
      </c>
      <c r="V43" t="s">
        <v>19</v>
      </c>
      <c r="W43">
        <v>1</v>
      </c>
      <c r="X43" t="s">
        <v>25</v>
      </c>
      <c r="Y43" t="s">
        <v>29</v>
      </c>
      <c r="Z43">
        <v>1.1045499999999999</v>
      </c>
    </row>
    <row r="44" spans="1:26" x14ac:dyDescent="0.35">
      <c r="A44" s="2">
        <v>44523.515393518523</v>
      </c>
      <c r="B44" s="3">
        <v>6.6</v>
      </c>
      <c r="C44" s="3">
        <f>(13.18+14.39)/2</f>
        <v>13.785</v>
      </c>
      <c r="D44" s="3">
        <f>(11.69+11.44)/2</f>
        <v>11.565</v>
      </c>
      <c r="E44" s="3">
        <f>(2.85+2.07)/2</f>
        <v>2.46</v>
      </c>
      <c r="F44" s="3">
        <f>(61.81+70.25)/2</f>
        <v>66.03</v>
      </c>
      <c r="G44" s="3">
        <v>0.01</v>
      </c>
      <c r="H44" s="3">
        <f>(12.69+15.19)/2</f>
        <v>13.94</v>
      </c>
      <c r="I44">
        <v>0</v>
      </c>
      <c r="J44">
        <v>14</v>
      </c>
      <c r="K44">
        <v>153</v>
      </c>
      <c r="L44">
        <v>50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19</v>
      </c>
      <c r="W44">
        <v>1</v>
      </c>
      <c r="X44" t="s">
        <v>23</v>
      </c>
      <c r="Y44" t="s">
        <v>29</v>
      </c>
      <c r="Z44">
        <v>1.2464999999999999</v>
      </c>
    </row>
    <row r="45" spans="1:26" x14ac:dyDescent="0.35">
      <c r="A45" s="2">
        <v>44523.517314814817</v>
      </c>
      <c r="B45" s="3">
        <v>6.7</v>
      </c>
      <c r="C45" s="3">
        <f>(12.74+12.76)/2</f>
        <v>12.75</v>
      </c>
      <c r="D45" s="3">
        <f>(10.69+11.63)/2</f>
        <v>11.16</v>
      </c>
      <c r="E45" s="3">
        <f>(2.14+2.16)/2</f>
        <v>2.1500000000000004</v>
      </c>
      <c r="F45" s="3">
        <f>(73.49+73.56)/2</f>
        <v>73.525000000000006</v>
      </c>
      <c r="G45" s="3">
        <v>0.05</v>
      </c>
      <c r="H45" s="3">
        <f>(12.81+12.25)/2</f>
        <v>12.530000000000001</v>
      </c>
      <c r="I45">
        <v>0</v>
      </c>
      <c r="J45">
        <v>53</v>
      </c>
      <c r="K45">
        <v>173</v>
      </c>
      <c r="L45">
        <v>69</v>
      </c>
      <c r="M45">
        <v>-1</v>
      </c>
      <c r="N45">
        <v>-2</v>
      </c>
      <c r="O45">
        <v>-2</v>
      </c>
      <c r="P45">
        <v>-2</v>
      </c>
      <c r="Q45">
        <v>-2</v>
      </c>
      <c r="R45">
        <v>0</v>
      </c>
      <c r="S45">
        <v>0</v>
      </c>
      <c r="T45">
        <v>0</v>
      </c>
      <c r="U45">
        <v>0</v>
      </c>
      <c r="V45" t="s">
        <v>19</v>
      </c>
      <c r="W45">
        <v>1</v>
      </c>
      <c r="X45" t="s">
        <v>26</v>
      </c>
      <c r="Y45" t="s">
        <v>28</v>
      </c>
      <c r="Z45">
        <v>1.3383499999999999</v>
      </c>
    </row>
    <row r="46" spans="1:26" x14ac:dyDescent="0.35">
      <c r="A46" s="2">
        <v>44523.518541666657</v>
      </c>
      <c r="B46" s="3">
        <v>6.7</v>
      </c>
      <c r="C46" s="3">
        <v>12.04</v>
      </c>
      <c r="D46" s="3">
        <v>9.81</v>
      </c>
      <c r="E46" s="3">
        <v>2.83</v>
      </c>
      <c r="F46" s="3">
        <v>76.94</v>
      </c>
      <c r="G46" s="3">
        <v>0.09</v>
      </c>
      <c r="H46" s="3">
        <v>11.56</v>
      </c>
      <c r="I46">
        <v>0</v>
      </c>
      <c r="J46">
        <v>18</v>
      </c>
      <c r="K46">
        <v>158</v>
      </c>
      <c r="L46">
        <v>60</v>
      </c>
      <c r="M46">
        <v>1</v>
      </c>
      <c r="N46">
        <v>-1</v>
      </c>
      <c r="O46">
        <v>0</v>
      </c>
      <c r="P46">
        <v>-1</v>
      </c>
      <c r="Q46">
        <v>-2</v>
      </c>
      <c r="R46">
        <v>0</v>
      </c>
      <c r="S46">
        <v>1</v>
      </c>
      <c r="T46">
        <v>1</v>
      </c>
      <c r="U46">
        <v>0</v>
      </c>
      <c r="V46" t="s">
        <v>19</v>
      </c>
      <c r="W46">
        <v>1</v>
      </c>
      <c r="X46" t="s">
        <v>24</v>
      </c>
      <c r="Y46" t="s">
        <v>29</v>
      </c>
      <c r="Z46">
        <v>1.1963999999999999</v>
      </c>
    </row>
    <row r="47" spans="1:26" x14ac:dyDescent="0.35">
      <c r="A47" s="2">
        <v>44523.519444444442</v>
      </c>
      <c r="B47" s="3">
        <v>6.7</v>
      </c>
      <c r="C47" s="3">
        <v>12.08</v>
      </c>
      <c r="D47" s="3">
        <v>9.8800000000000008</v>
      </c>
      <c r="E47" s="3">
        <v>2.82</v>
      </c>
      <c r="F47" s="3">
        <v>77.239999999999995</v>
      </c>
      <c r="G47" s="3">
        <v>7.0000000000000007E-2</v>
      </c>
      <c r="H47" s="3">
        <v>11.56</v>
      </c>
      <c r="I47">
        <v>1</v>
      </c>
      <c r="J47">
        <v>31</v>
      </c>
      <c r="K47">
        <v>177</v>
      </c>
      <c r="L47">
        <v>72</v>
      </c>
      <c r="M47">
        <v>1</v>
      </c>
      <c r="N47">
        <v>0</v>
      </c>
      <c r="O47">
        <v>0</v>
      </c>
      <c r="P47">
        <v>0</v>
      </c>
      <c r="Q47">
        <v>-1</v>
      </c>
      <c r="R47">
        <v>0</v>
      </c>
      <c r="S47">
        <v>0</v>
      </c>
      <c r="T47">
        <v>0</v>
      </c>
      <c r="U47">
        <v>0</v>
      </c>
      <c r="V47" t="s">
        <v>19</v>
      </c>
      <c r="W47">
        <v>1</v>
      </c>
      <c r="X47" t="s">
        <v>24</v>
      </c>
      <c r="Y47" t="s">
        <v>29</v>
      </c>
      <c r="Z47">
        <v>1.0544500000000001</v>
      </c>
    </row>
    <row r="48" spans="1:26" x14ac:dyDescent="0.35">
      <c r="A48" s="2">
        <v>44523.522222222222</v>
      </c>
      <c r="B48" s="3">
        <v>6.8</v>
      </c>
      <c r="C48" s="3">
        <f>(12.66+12.38)/2</f>
        <v>12.52</v>
      </c>
      <c r="D48" s="3">
        <f>(10.81+11.19)/2</f>
        <v>11</v>
      </c>
      <c r="E48" s="3">
        <f>(2.31+1.96)/2</f>
        <v>2.1349999999999998</v>
      </c>
      <c r="F48" s="3">
        <f>(75.21+73.83)/2</f>
        <v>74.52</v>
      </c>
      <c r="G48" s="3">
        <v>0.03</v>
      </c>
      <c r="H48" s="3">
        <f>(12.06+12.81)/2</f>
        <v>12.435</v>
      </c>
      <c r="I48">
        <v>1</v>
      </c>
      <c r="J48">
        <v>20</v>
      </c>
      <c r="K48">
        <v>175</v>
      </c>
      <c r="L48">
        <v>65</v>
      </c>
      <c r="M48">
        <v>0</v>
      </c>
      <c r="N48">
        <v>-2</v>
      </c>
      <c r="O48">
        <v>-3</v>
      </c>
      <c r="P48">
        <v>-3</v>
      </c>
      <c r="Q48">
        <v>-3</v>
      </c>
      <c r="R48">
        <v>0</v>
      </c>
      <c r="S48">
        <v>0</v>
      </c>
      <c r="T48">
        <v>0</v>
      </c>
      <c r="U48">
        <v>0</v>
      </c>
      <c r="V48" t="s">
        <v>20</v>
      </c>
      <c r="W48">
        <v>1</v>
      </c>
      <c r="X48" t="s">
        <v>26</v>
      </c>
      <c r="Y48" t="s">
        <v>29</v>
      </c>
      <c r="Z48">
        <v>1.1295999999999999</v>
      </c>
    </row>
    <row r="49" spans="1:26" x14ac:dyDescent="0.35">
      <c r="A49" s="2">
        <v>44523.528101851851</v>
      </c>
      <c r="B49" s="3">
        <v>7</v>
      </c>
      <c r="C49" s="3">
        <f>(12.03+12.44)/2</f>
        <v>12.234999999999999</v>
      </c>
      <c r="D49" s="3">
        <v>11</v>
      </c>
      <c r="E49" s="3">
        <f>(2.21+1.56)/2</f>
        <v>1.885</v>
      </c>
      <c r="F49" s="3">
        <f>(75.12+76.27)/2</f>
        <v>75.694999999999993</v>
      </c>
      <c r="G49" s="3">
        <v>0.03</v>
      </c>
      <c r="H49" s="3">
        <f>(11.94+12.5)/2</f>
        <v>12.219999999999999</v>
      </c>
      <c r="I49">
        <v>0</v>
      </c>
      <c r="J49">
        <v>41</v>
      </c>
      <c r="K49">
        <v>177</v>
      </c>
      <c r="L49">
        <v>60</v>
      </c>
      <c r="M49">
        <v>0</v>
      </c>
      <c r="N49">
        <v>-2</v>
      </c>
      <c r="O49">
        <v>0</v>
      </c>
      <c r="P49">
        <v>-2</v>
      </c>
      <c r="Q49">
        <v>-1</v>
      </c>
      <c r="R49">
        <v>0</v>
      </c>
      <c r="S49">
        <v>0</v>
      </c>
      <c r="T49">
        <v>0</v>
      </c>
      <c r="U49">
        <v>0</v>
      </c>
      <c r="V49" t="s">
        <v>20</v>
      </c>
      <c r="W49">
        <v>1</v>
      </c>
      <c r="X49" t="s">
        <v>26</v>
      </c>
      <c r="Y49" t="s">
        <v>29</v>
      </c>
      <c r="Z49">
        <v>1.2799</v>
      </c>
    </row>
    <row r="50" spans="1:26" x14ac:dyDescent="0.35">
      <c r="A50" s="2">
        <v>44523.529166666667</v>
      </c>
      <c r="B50" s="3">
        <v>7</v>
      </c>
      <c r="C50" s="3">
        <v>12.2</v>
      </c>
      <c r="D50" s="3">
        <v>9.44</v>
      </c>
      <c r="E50" s="3">
        <v>3.28</v>
      </c>
      <c r="F50" s="3">
        <v>73.31</v>
      </c>
      <c r="G50" s="3">
        <v>0.27</v>
      </c>
      <c r="H50" s="3">
        <v>12.69</v>
      </c>
      <c r="I50">
        <v>0</v>
      </c>
      <c r="J50">
        <v>66</v>
      </c>
      <c r="K50">
        <v>162</v>
      </c>
      <c r="L50">
        <v>62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19</v>
      </c>
      <c r="W50">
        <v>1</v>
      </c>
      <c r="X50" t="s">
        <v>22</v>
      </c>
      <c r="Y50" t="s">
        <v>29</v>
      </c>
      <c r="Z50">
        <v>1.15465</v>
      </c>
    </row>
    <row r="51" spans="1:26" x14ac:dyDescent="0.35">
      <c r="A51" s="2">
        <v>44523.53398148148</v>
      </c>
      <c r="B51" s="3">
        <v>7.4</v>
      </c>
      <c r="C51" s="3">
        <f>(14.24+12.65)/2</f>
        <v>13.445</v>
      </c>
      <c r="D51" s="3">
        <f>(11.19+11.88)/2</f>
        <v>11.535</v>
      </c>
      <c r="E51" s="3">
        <f>(1.87+2.69)/2</f>
        <v>2.2800000000000002</v>
      </c>
      <c r="F51" s="3">
        <f>(63.39+72.69)/2</f>
        <v>68.039999999999992</v>
      </c>
      <c r="G51" s="3">
        <v>0</v>
      </c>
      <c r="H51" s="3">
        <f>(15.13+12.25)/2</f>
        <v>13.690000000000001</v>
      </c>
      <c r="I51">
        <v>1</v>
      </c>
      <c r="J51">
        <v>20</v>
      </c>
      <c r="K51">
        <v>186</v>
      </c>
      <c r="L51">
        <v>75</v>
      </c>
      <c r="M51">
        <v>1</v>
      </c>
      <c r="N51">
        <v>2</v>
      </c>
      <c r="O51">
        <v>2</v>
      </c>
      <c r="P51">
        <v>2</v>
      </c>
      <c r="Q51">
        <v>2</v>
      </c>
      <c r="R51">
        <v>0</v>
      </c>
      <c r="S51">
        <v>0</v>
      </c>
      <c r="T51">
        <v>0</v>
      </c>
      <c r="U51">
        <v>0</v>
      </c>
      <c r="V51" t="s">
        <v>20</v>
      </c>
      <c r="W51">
        <v>1</v>
      </c>
      <c r="X51" t="s">
        <v>23</v>
      </c>
      <c r="Y51" t="s">
        <v>29</v>
      </c>
      <c r="Z51">
        <v>1.2214499999999999</v>
      </c>
    </row>
    <row r="52" spans="1:26" x14ac:dyDescent="0.35">
      <c r="A52" s="2">
        <v>44523.536053240743</v>
      </c>
      <c r="B52" s="3">
        <v>7.2</v>
      </c>
      <c r="C52" s="3">
        <v>12.8</v>
      </c>
      <c r="D52" s="3">
        <v>10.63</v>
      </c>
      <c r="E52" s="3">
        <v>2.41</v>
      </c>
      <c r="F52" s="3">
        <v>76.03</v>
      </c>
      <c r="G52" s="3">
        <v>0.06</v>
      </c>
      <c r="H52" s="3">
        <v>12</v>
      </c>
      <c r="I52">
        <v>1</v>
      </c>
      <c r="J52">
        <v>23</v>
      </c>
      <c r="K52">
        <v>168</v>
      </c>
      <c r="L52">
        <v>72</v>
      </c>
      <c r="M52">
        <v>1</v>
      </c>
      <c r="N52">
        <v>-2</v>
      </c>
      <c r="O52">
        <v>-2</v>
      </c>
      <c r="P52">
        <v>-3</v>
      </c>
      <c r="Q52">
        <v>-3</v>
      </c>
      <c r="R52">
        <v>0</v>
      </c>
      <c r="S52">
        <v>0</v>
      </c>
      <c r="T52">
        <v>0</v>
      </c>
      <c r="U52">
        <v>0</v>
      </c>
      <c r="V52" t="s">
        <v>20</v>
      </c>
      <c r="W52">
        <v>1</v>
      </c>
      <c r="X52" t="s">
        <v>25</v>
      </c>
      <c r="Y52" t="s">
        <v>28</v>
      </c>
      <c r="Z52">
        <v>1.15465</v>
      </c>
    </row>
    <row r="53" spans="1:26" x14ac:dyDescent="0.35">
      <c r="A53" s="2">
        <v>44523.561435185176</v>
      </c>
      <c r="B53" s="3">
        <v>7.3</v>
      </c>
      <c r="C53" s="3">
        <v>15.476000000000001</v>
      </c>
      <c r="D53" s="3">
        <v>10.19</v>
      </c>
      <c r="E53" s="3">
        <v>6.9</v>
      </c>
      <c r="F53" s="3">
        <v>69.790000000000006</v>
      </c>
      <c r="G53" s="3">
        <v>0.02</v>
      </c>
      <c r="H53" s="3">
        <v>13.06</v>
      </c>
      <c r="I53">
        <v>1</v>
      </c>
      <c r="J53">
        <v>24</v>
      </c>
      <c r="K53">
        <v>190</v>
      </c>
      <c r="L53">
        <v>79</v>
      </c>
      <c r="M53">
        <v>1</v>
      </c>
      <c r="N53">
        <v>0</v>
      </c>
      <c r="O53">
        <v>0</v>
      </c>
      <c r="P53">
        <v>-1</v>
      </c>
      <c r="Q53">
        <v>-1</v>
      </c>
      <c r="R53">
        <v>0</v>
      </c>
      <c r="S53">
        <v>0</v>
      </c>
      <c r="T53">
        <v>0</v>
      </c>
      <c r="U53">
        <v>0</v>
      </c>
      <c r="V53" t="s">
        <v>19</v>
      </c>
      <c r="W53">
        <v>1</v>
      </c>
      <c r="X53" t="s">
        <v>27</v>
      </c>
      <c r="Y53" t="s">
        <v>29</v>
      </c>
      <c r="Z53">
        <v>0.98765000000000003</v>
      </c>
    </row>
    <row r="54" spans="1:26" x14ac:dyDescent="0.35">
      <c r="A54" s="2">
        <v>44523.562210648153</v>
      </c>
      <c r="B54" s="3">
        <v>7.3</v>
      </c>
      <c r="C54" s="3">
        <v>14.24</v>
      </c>
      <c r="D54" s="3">
        <v>11.38</v>
      </c>
      <c r="E54" s="3">
        <v>3.21</v>
      </c>
      <c r="F54" s="3">
        <v>71.430000000000007</v>
      </c>
      <c r="G54" s="3">
        <v>0.09</v>
      </c>
      <c r="H54" s="3">
        <v>13.06</v>
      </c>
      <c r="I54">
        <v>0</v>
      </c>
      <c r="J54">
        <v>23</v>
      </c>
      <c r="K54">
        <v>168</v>
      </c>
      <c r="L54">
        <v>75</v>
      </c>
      <c r="M54">
        <v>1</v>
      </c>
      <c r="N54">
        <v>-1</v>
      </c>
      <c r="O54">
        <v>0</v>
      </c>
      <c r="P54">
        <v>0</v>
      </c>
      <c r="Q54">
        <v>-2</v>
      </c>
      <c r="R54">
        <v>0</v>
      </c>
      <c r="S54">
        <v>0</v>
      </c>
      <c r="T54">
        <v>0</v>
      </c>
      <c r="U54">
        <v>0</v>
      </c>
      <c r="V54" t="s">
        <v>19</v>
      </c>
      <c r="W54">
        <v>1</v>
      </c>
      <c r="X54" t="s">
        <v>25</v>
      </c>
      <c r="Y54" t="s">
        <v>28</v>
      </c>
      <c r="Z54">
        <v>1.15465</v>
      </c>
    </row>
    <row r="55" spans="1:26" x14ac:dyDescent="0.35">
      <c r="A55" s="2">
        <v>44523.57708333333</v>
      </c>
      <c r="B55" s="3">
        <v>7.5</v>
      </c>
      <c r="C55" s="3">
        <v>16.149999999999999</v>
      </c>
      <c r="D55" s="3">
        <v>11.44</v>
      </c>
      <c r="E55" s="3">
        <v>6.61</v>
      </c>
      <c r="F55" s="3">
        <v>71.8</v>
      </c>
      <c r="G55" s="3">
        <v>0.12</v>
      </c>
      <c r="H55" s="3">
        <v>13.94</v>
      </c>
      <c r="I55">
        <v>0</v>
      </c>
      <c r="J55">
        <v>29</v>
      </c>
      <c r="K55">
        <v>175</v>
      </c>
      <c r="L55">
        <v>69</v>
      </c>
      <c r="M55">
        <v>1</v>
      </c>
      <c r="N55">
        <v>2</v>
      </c>
      <c r="O55">
        <v>2</v>
      </c>
      <c r="P55">
        <v>2</v>
      </c>
      <c r="Q55">
        <v>2</v>
      </c>
      <c r="R55">
        <v>0</v>
      </c>
      <c r="S55">
        <v>0</v>
      </c>
      <c r="T55">
        <v>0</v>
      </c>
      <c r="U55">
        <v>0</v>
      </c>
      <c r="V55" t="s">
        <v>19</v>
      </c>
      <c r="W55">
        <v>1</v>
      </c>
      <c r="X55" t="s">
        <v>24</v>
      </c>
      <c r="Y55" t="s">
        <v>28</v>
      </c>
      <c r="Z55">
        <v>1.3550500000000001</v>
      </c>
    </row>
    <row r="56" spans="1:26" x14ac:dyDescent="0.35">
      <c r="A56" s="2">
        <v>44523.580555555563</v>
      </c>
      <c r="B56" s="3">
        <v>7.6</v>
      </c>
      <c r="C56" s="3">
        <f>(17.54+15.87)/2</f>
        <v>16.704999999999998</v>
      </c>
      <c r="D56" s="3">
        <f>(13+14.06)/2</f>
        <v>13.530000000000001</v>
      </c>
      <c r="E56" s="3">
        <f>(3.2+3.44)/2</f>
        <v>3.3200000000000003</v>
      </c>
      <c r="F56" s="3">
        <f>(67.57+60.15)/2</f>
        <v>63.86</v>
      </c>
      <c r="G56" s="3">
        <v>0.02</v>
      </c>
      <c r="H56" s="3">
        <f>(14.75+18)/2</f>
        <v>16.375</v>
      </c>
      <c r="I56">
        <v>1</v>
      </c>
      <c r="J56">
        <v>24</v>
      </c>
      <c r="K56">
        <v>177</v>
      </c>
      <c r="L56">
        <v>75</v>
      </c>
      <c r="M56">
        <v>1</v>
      </c>
      <c r="N56">
        <v>1</v>
      </c>
      <c r="O56">
        <v>0</v>
      </c>
      <c r="P56">
        <v>0</v>
      </c>
      <c r="Q56">
        <v>-1</v>
      </c>
      <c r="R56">
        <v>1</v>
      </c>
      <c r="S56">
        <v>1</v>
      </c>
      <c r="T56">
        <v>1</v>
      </c>
      <c r="U56">
        <v>1</v>
      </c>
      <c r="V56" t="s">
        <v>19</v>
      </c>
      <c r="W56">
        <v>1</v>
      </c>
      <c r="X56" t="s">
        <v>23</v>
      </c>
      <c r="Y56" t="s">
        <v>29</v>
      </c>
      <c r="Z56">
        <v>0.97094999999999998</v>
      </c>
    </row>
    <row r="57" spans="1:26" x14ac:dyDescent="0.35">
      <c r="A57" s="2">
        <v>44523.586111111108</v>
      </c>
      <c r="B57" s="3">
        <v>7.6</v>
      </c>
      <c r="C57" s="3">
        <v>16.7</v>
      </c>
      <c r="D57" s="3">
        <v>11.56</v>
      </c>
      <c r="E57" s="3">
        <v>7.22</v>
      </c>
      <c r="F57" s="3">
        <v>72.510000000000005</v>
      </c>
      <c r="G57" s="3">
        <v>0.2</v>
      </c>
      <c r="H57" s="3">
        <v>14.06</v>
      </c>
      <c r="I57">
        <v>0</v>
      </c>
      <c r="J57">
        <v>48</v>
      </c>
      <c r="K57">
        <v>163</v>
      </c>
      <c r="L57">
        <v>53</v>
      </c>
      <c r="M57">
        <v>1</v>
      </c>
      <c r="N57">
        <v>0</v>
      </c>
      <c r="O57">
        <v>-2</v>
      </c>
      <c r="P57">
        <v>-2</v>
      </c>
      <c r="Q57">
        <v>-2</v>
      </c>
      <c r="R57">
        <v>0</v>
      </c>
      <c r="S57">
        <v>0</v>
      </c>
      <c r="T57">
        <v>0</v>
      </c>
      <c r="U57">
        <v>0</v>
      </c>
      <c r="V57" t="s">
        <v>19</v>
      </c>
      <c r="W57">
        <v>1</v>
      </c>
      <c r="X57" t="s">
        <v>24</v>
      </c>
      <c r="Y57" t="s">
        <v>28</v>
      </c>
      <c r="Z57">
        <v>1.4802999999999999</v>
      </c>
    </row>
    <row r="58" spans="1:26" x14ac:dyDescent="0.35">
      <c r="A58" s="2">
        <v>44523.586655092593</v>
      </c>
      <c r="B58" s="3">
        <v>7.6</v>
      </c>
      <c r="C58" s="3">
        <v>17.309999999999999</v>
      </c>
      <c r="D58" s="3">
        <v>11.25</v>
      </c>
      <c r="E58" s="3">
        <v>7.83</v>
      </c>
      <c r="F58" s="3">
        <v>69.44</v>
      </c>
      <c r="G58" s="3">
        <v>0.02</v>
      </c>
      <c r="H58" s="3">
        <v>14.38</v>
      </c>
      <c r="I58">
        <v>0</v>
      </c>
      <c r="J58">
        <v>31</v>
      </c>
      <c r="K58">
        <v>168</v>
      </c>
      <c r="L58">
        <v>60</v>
      </c>
      <c r="M58">
        <v>1</v>
      </c>
      <c r="N58">
        <v>2</v>
      </c>
      <c r="O58">
        <v>2</v>
      </c>
      <c r="P58">
        <v>2</v>
      </c>
      <c r="Q58">
        <v>2</v>
      </c>
      <c r="R58">
        <v>0</v>
      </c>
      <c r="S58">
        <v>0</v>
      </c>
      <c r="T58">
        <v>0</v>
      </c>
      <c r="U58">
        <v>0</v>
      </c>
      <c r="V58" t="s">
        <v>20</v>
      </c>
      <c r="W58">
        <v>1</v>
      </c>
      <c r="X58" t="s">
        <v>27</v>
      </c>
      <c r="Y58" t="s">
        <v>29</v>
      </c>
      <c r="Z58">
        <v>1.2381500000000001</v>
      </c>
    </row>
    <row r="59" spans="1:26" x14ac:dyDescent="0.35">
      <c r="A59" s="2">
        <v>44523.587719907409</v>
      </c>
      <c r="B59" s="3">
        <v>7.6</v>
      </c>
      <c r="C59" s="3">
        <v>16.89</v>
      </c>
      <c r="D59" s="3">
        <v>11.63</v>
      </c>
      <c r="E59" s="3">
        <v>7.37</v>
      </c>
      <c r="F59" s="3">
        <v>73.319999999999993</v>
      </c>
      <c r="G59" s="3">
        <v>0.14000000000000001</v>
      </c>
      <c r="H59" s="3">
        <v>14.13</v>
      </c>
      <c r="I59">
        <v>1</v>
      </c>
      <c r="J59">
        <v>70</v>
      </c>
      <c r="K59">
        <v>173</v>
      </c>
      <c r="L59">
        <v>85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19</v>
      </c>
      <c r="W59">
        <v>1</v>
      </c>
      <c r="X59" t="s">
        <v>24</v>
      </c>
      <c r="Y59" t="s">
        <v>29</v>
      </c>
      <c r="Z59">
        <v>0.96260000000000001</v>
      </c>
    </row>
    <row r="60" spans="1:26" x14ac:dyDescent="0.35">
      <c r="A60" s="2">
        <v>44523.613194444442</v>
      </c>
      <c r="B60" s="3">
        <v>7.4</v>
      </c>
      <c r="C60" s="3">
        <v>17.05</v>
      </c>
      <c r="D60" s="3">
        <v>11.69</v>
      </c>
      <c r="E60" s="3">
        <v>7.58</v>
      </c>
      <c r="F60" s="3">
        <v>70.59</v>
      </c>
      <c r="G60" s="3">
        <v>0.12</v>
      </c>
      <c r="H60" s="3">
        <v>14.06</v>
      </c>
      <c r="I60">
        <v>0</v>
      </c>
      <c r="J60">
        <v>49</v>
      </c>
      <c r="K60">
        <v>166</v>
      </c>
      <c r="L60">
        <v>50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t="s">
        <v>19</v>
      </c>
      <c r="W60">
        <v>1</v>
      </c>
      <c r="X60" t="s">
        <v>24</v>
      </c>
      <c r="Y60" t="s">
        <v>29</v>
      </c>
      <c r="Z60">
        <v>1.1963999999999999</v>
      </c>
    </row>
    <row r="61" spans="1:26" x14ac:dyDescent="0.35">
      <c r="A61" s="2">
        <v>44523.614039351851</v>
      </c>
      <c r="B61" s="3">
        <v>7.3</v>
      </c>
      <c r="C61" s="3">
        <f>(16.72+15.17)/2</f>
        <v>15.945</v>
      </c>
      <c r="D61" s="3">
        <f>(13+13.19)/2</f>
        <v>13.094999999999999</v>
      </c>
      <c r="E61" s="3">
        <f>(5.54+3.89)/2</f>
        <v>4.7149999999999999</v>
      </c>
      <c r="F61" s="3">
        <f>(69.9+69.44)/2</f>
        <v>69.67</v>
      </c>
      <c r="G61" s="3">
        <v>0.04</v>
      </c>
      <c r="H61" s="3">
        <f>(14.69+15.06)/2</f>
        <v>14.875</v>
      </c>
      <c r="I61">
        <v>1</v>
      </c>
      <c r="J61">
        <v>19</v>
      </c>
      <c r="K61">
        <v>170</v>
      </c>
      <c r="L61">
        <v>70</v>
      </c>
      <c r="M61">
        <v>0</v>
      </c>
      <c r="N61">
        <v>-1</v>
      </c>
      <c r="O61">
        <v>-1</v>
      </c>
      <c r="P61">
        <v>-1</v>
      </c>
      <c r="Q61">
        <v>-1</v>
      </c>
      <c r="R61">
        <v>1</v>
      </c>
      <c r="S61">
        <v>1</v>
      </c>
      <c r="T61">
        <v>1</v>
      </c>
      <c r="U61">
        <v>1</v>
      </c>
      <c r="V61" t="s">
        <v>19</v>
      </c>
      <c r="W61">
        <v>1</v>
      </c>
      <c r="X61" t="s">
        <v>26</v>
      </c>
      <c r="Y61" t="s">
        <v>28</v>
      </c>
      <c r="Z61">
        <v>1.0043500000000001</v>
      </c>
    </row>
    <row r="62" spans="1:26" x14ac:dyDescent="0.35">
      <c r="A62" s="2">
        <v>44523.616666666669</v>
      </c>
      <c r="B62" s="3">
        <v>7.5</v>
      </c>
      <c r="C62" s="3">
        <f>(16.13+17.19)/2</f>
        <v>16.66</v>
      </c>
      <c r="D62" s="3">
        <f>(12.63+13.44)/2</f>
        <v>13.035</v>
      </c>
      <c r="E62" s="3">
        <f>(4.14+4.17)/2</f>
        <v>4.1549999999999994</v>
      </c>
      <c r="F62" s="3">
        <f>(67.74+58.56)/2</f>
        <v>63.15</v>
      </c>
      <c r="G62" s="3">
        <v>0.02</v>
      </c>
      <c r="H62" s="3">
        <f>(15.38+18.56)/2</f>
        <v>16.97</v>
      </c>
      <c r="I62">
        <v>1</v>
      </c>
      <c r="J62">
        <v>55</v>
      </c>
      <c r="K62">
        <v>186</v>
      </c>
      <c r="L62">
        <v>79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19</v>
      </c>
      <c r="W62">
        <v>1</v>
      </c>
      <c r="X62" t="s">
        <v>23</v>
      </c>
      <c r="Y62" t="s">
        <v>28</v>
      </c>
      <c r="Z62">
        <v>0.97929999999999995</v>
      </c>
    </row>
    <row r="63" spans="1:26" x14ac:dyDescent="0.35">
      <c r="A63" s="2">
        <v>44523.629166666673</v>
      </c>
      <c r="B63" s="3">
        <v>7.8</v>
      </c>
      <c r="C63" s="3">
        <v>17.8</v>
      </c>
      <c r="D63" s="3">
        <v>12</v>
      </c>
      <c r="E63" s="3">
        <v>7.58</v>
      </c>
      <c r="F63" s="3">
        <v>70.430000000000007</v>
      </c>
      <c r="G63" s="3">
        <v>0.16</v>
      </c>
      <c r="H63" s="3">
        <v>14.63</v>
      </c>
      <c r="I63">
        <v>1</v>
      </c>
      <c r="J63">
        <v>32</v>
      </c>
      <c r="K63">
        <v>181</v>
      </c>
      <c r="L63">
        <v>68</v>
      </c>
      <c r="M63">
        <v>2</v>
      </c>
      <c r="N63">
        <v>0</v>
      </c>
      <c r="O63">
        <v>2</v>
      </c>
      <c r="P63">
        <v>2</v>
      </c>
      <c r="Q63">
        <v>2</v>
      </c>
      <c r="R63">
        <v>0</v>
      </c>
      <c r="S63">
        <v>0</v>
      </c>
      <c r="T63">
        <v>0</v>
      </c>
      <c r="U63">
        <v>0</v>
      </c>
      <c r="V63" t="s">
        <v>19</v>
      </c>
      <c r="W63">
        <v>1</v>
      </c>
      <c r="X63" t="s">
        <v>24</v>
      </c>
      <c r="Y63" t="s">
        <v>29</v>
      </c>
      <c r="Z63">
        <v>1.5304</v>
      </c>
    </row>
    <row r="64" spans="1:26" x14ac:dyDescent="0.35">
      <c r="A64" s="2">
        <v>44523.635682870372</v>
      </c>
      <c r="B64" s="3">
        <v>7.7</v>
      </c>
      <c r="C64" s="3">
        <v>16.46</v>
      </c>
      <c r="D64" s="3">
        <v>11.75</v>
      </c>
      <c r="E64" s="3">
        <v>5.97</v>
      </c>
      <c r="F64" s="3">
        <v>71.02</v>
      </c>
      <c r="G64" s="3">
        <v>0.16</v>
      </c>
      <c r="H64" s="3">
        <v>14.63</v>
      </c>
      <c r="I64">
        <v>1</v>
      </c>
      <c r="J64">
        <v>25</v>
      </c>
      <c r="K64">
        <v>162</v>
      </c>
      <c r="L64">
        <v>70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20</v>
      </c>
      <c r="W64">
        <v>1</v>
      </c>
      <c r="X64" t="s">
        <v>24</v>
      </c>
      <c r="Y64" t="s">
        <v>29</v>
      </c>
      <c r="Z64">
        <v>1.163</v>
      </c>
    </row>
    <row r="65" spans="1:26" x14ac:dyDescent="0.35">
      <c r="A65" s="2">
        <v>44523.641689814824</v>
      </c>
      <c r="B65" s="3">
        <v>7.7</v>
      </c>
      <c r="C65" s="3">
        <f>(15.5+16.84)/2</f>
        <v>16.170000000000002</v>
      </c>
      <c r="D65" s="3">
        <f>(13.13+13.31)/2</f>
        <v>13.22</v>
      </c>
      <c r="E65" s="3">
        <f>(4.23+4.95)/2</f>
        <v>4.59</v>
      </c>
      <c r="F65" s="3">
        <f>(71.35+69.65)/2</f>
        <v>70.5</v>
      </c>
      <c r="G65" s="3">
        <v>7.0000000000000007E-2</v>
      </c>
      <c r="H65" s="3">
        <f>(14.81+15.63)/2</f>
        <v>15.22</v>
      </c>
      <c r="I65">
        <v>0</v>
      </c>
      <c r="J65">
        <v>40</v>
      </c>
      <c r="K65">
        <v>156</v>
      </c>
      <c r="L65">
        <v>73</v>
      </c>
      <c r="M65">
        <v>-1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20</v>
      </c>
      <c r="W65">
        <v>1</v>
      </c>
      <c r="X65" t="s">
        <v>26</v>
      </c>
      <c r="Y65" t="s">
        <v>29</v>
      </c>
      <c r="Z65">
        <v>1.2298</v>
      </c>
    </row>
    <row r="66" spans="1:26" x14ac:dyDescent="0.35">
      <c r="A66" s="2">
        <v>44523.713194444441</v>
      </c>
      <c r="B66" s="3">
        <v>7.5</v>
      </c>
      <c r="C66" s="3">
        <f>(17.35+19.19)/2</f>
        <v>18.270000000000003</v>
      </c>
      <c r="D66" s="3">
        <f>(13.88+14.81)/2</f>
        <v>14.345000000000001</v>
      </c>
      <c r="E66" s="3">
        <f>(3.98+4.26)/2</f>
        <v>4.12</v>
      </c>
      <c r="F66" s="3">
        <f>(55.7+64.45)/2</f>
        <v>60.075000000000003</v>
      </c>
      <c r="G66" s="3">
        <v>0.02</v>
      </c>
      <c r="H66" s="3">
        <f>(16.75+19.56)/2</f>
        <v>18.155000000000001</v>
      </c>
      <c r="I66">
        <v>0</v>
      </c>
      <c r="J66">
        <v>25</v>
      </c>
      <c r="K66">
        <v>168</v>
      </c>
      <c r="L66">
        <v>60</v>
      </c>
      <c r="M66">
        <v>1</v>
      </c>
      <c r="N66">
        <v>0</v>
      </c>
      <c r="O66">
        <v>0</v>
      </c>
      <c r="P66">
        <v>-2</v>
      </c>
      <c r="Q66">
        <v>-2</v>
      </c>
      <c r="R66">
        <v>0</v>
      </c>
      <c r="S66">
        <v>0</v>
      </c>
      <c r="T66">
        <v>0</v>
      </c>
      <c r="U66">
        <v>0</v>
      </c>
      <c r="V66" t="s">
        <v>19</v>
      </c>
      <c r="W66">
        <v>1</v>
      </c>
      <c r="X66" t="s">
        <v>23</v>
      </c>
      <c r="Y66" t="s">
        <v>28</v>
      </c>
      <c r="Z66">
        <v>1.1713499999999999</v>
      </c>
    </row>
    <row r="67" spans="1:26" x14ac:dyDescent="0.35">
      <c r="A67" s="2">
        <v>44523.713888888888</v>
      </c>
      <c r="B67" s="3">
        <v>7.5</v>
      </c>
      <c r="C67" s="3">
        <f>(13.88+15.69)/2</f>
        <v>14.785</v>
      </c>
      <c r="D67" s="3">
        <f>(17.41+19.62)/2</f>
        <v>18.515000000000001</v>
      </c>
      <c r="E67" s="3">
        <f>(3.91+4.1)/2</f>
        <v>4.0049999999999999</v>
      </c>
      <c r="F67" s="3">
        <f>(64.45+56.71)/2</f>
        <v>60.58</v>
      </c>
      <c r="G67" s="3">
        <v>0.02</v>
      </c>
      <c r="H67" s="3">
        <f>(16.62+19.81)/2</f>
        <v>18.215</v>
      </c>
      <c r="I67">
        <v>1</v>
      </c>
      <c r="J67">
        <v>26</v>
      </c>
      <c r="K67">
        <v>185</v>
      </c>
      <c r="L67">
        <v>70</v>
      </c>
      <c r="M67">
        <v>1</v>
      </c>
      <c r="N67">
        <v>0</v>
      </c>
      <c r="O67">
        <v>2</v>
      </c>
      <c r="P67">
        <v>-3</v>
      </c>
      <c r="Q67">
        <v>-1</v>
      </c>
      <c r="R67">
        <v>0</v>
      </c>
      <c r="S67">
        <v>0</v>
      </c>
      <c r="T67">
        <v>0</v>
      </c>
      <c r="U67">
        <v>0</v>
      </c>
      <c r="V67" t="s">
        <v>19</v>
      </c>
      <c r="W67">
        <v>1</v>
      </c>
      <c r="X67" t="s">
        <v>23</v>
      </c>
      <c r="Y67" t="s">
        <v>28</v>
      </c>
      <c r="Z67">
        <v>1.2214499999999999</v>
      </c>
    </row>
    <row r="68" spans="1:26" x14ac:dyDescent="0.35">
      <c r="A68" s="2">
        <v>44523.71597222222</v>
      </c>
      <c r="B68" s="3">
        <v>7.6</v>
      </c>
      <c r="C68" s="3">
        <v>16.87</v>
      </c>
      <c r="D68" s="3">
        <v>13</v>
      </c>
      <c r="E68" s="3">
        <v>5.51</v>
      </c>
      <c r="F68" s="3">
        <v>68.73</v>
      </c>
      <c r="G68" s="3">
        <v>0.27</v>
      </c>
      <c r="H68" s="3">
        <v>15.63</v>
      </c>
      <c r="I68">
        <v>0</v>
      </c>
      <c r="J68">
        <v>30</v>
      </c>
      <c r="K68">
        <v>178</v>
      </c>
      <c r="L68">
        <v>70</v>
      </c>
      <c r="M68">
        <v>1</v>
      </c>
      <c r="N68">
        <v>0</v>
      </c>
      <c r="O68">
        <v>-2</v>
      </c>
      <c r="P68">
        <v>-2</v>
      </c>
      <c r="Q68">
        <v>-2</v>
      </c>
      <c r="R68">
        <v>1</v>
      </c>
      <c r="S68">
        <v>0</v>
      </c>
      <c r="T68">
        <v>1</v>
      </c>
      <c r="U68">
        <v>1</v>
      </c>
      <c r="V68" t="s">
        <v>19</v>
      </c>
      <c r="W68">
        <v>1</v>
      </c>
      <c r="X68" t="s">
        <v>22</v>
      </c>
      <c r="Y68" t="s">
        <v>28</v>
      </c>
      <c r="Z68">
        <v>1.4301999999999999</v>
      </c>
    </row>
    <row r="69" spans="1:26" x14ac:dyDescent="0.35">
      <c r="A69" s="2">
        <v>44523.722916666673</v>
      </c>
      <c r="B69" s="3">
        <v>7.9</v>
      </c>
      <c r="C69" s="3">
        <v>17.57</v>
      </c>
      <c r="D69" s="3">
        <v>13.62</v>
      </c>
      <c r="E69" s="3">
        <v>4.46</v>
      </c>
      <c r="F69" s="3">
        <v>67.290000000000006</v>
      </c>
      <c r="G69" s="3">
        <v>7.0000000000000007E-2</v>
      </c>
      <c r="H69" s="3">
        <v>15.69</v>
      </c>
      <c r="I69">
        <v>1</v>
      </c>
      <c r="J69">
        <v>16</v>
      </c>
      <c r="K69">
        <v>193</v>
      </c>
      <c r="L69">
        <v>90</v>
      </c>
      <c r="M69">
        <v>2</v>
      </c>
      <c r="N69">
        <v>2</v>
      </c>
      <c r="O69">
        <v>2</v>
      </c>
      <c r="P69">
        <v>2</v>
      </c>
      <c r="Q69">
        <v>2</v>
      </c>
      <c r="R69">
        <v>0</v>
      </c>
      <c r="S69">
        <v>0</v>
      </c>
      <c r="T69">
        <v>0</v>
      </c>
      <c r="U69">
        <v>0</v>
      </c>
      <c r="V69" t="s">
        <v>20</v>
      </c>
      <c r="W69">
        <v>1</v>
      </c>
      <c r="X69" t="s">
        <v>25</v>
      </c>
      <c r="Y69" t="s">
        <v>28</v>
      </c>
      <c r="Z69">
        <v>0.86240000000000006</v>
      </c>
    </row>
    <row r="70" spans="1:26" x14ac:dyDescent="0.35">
      <c r="A70" s="2">
        <v>44523.732638888891</v>
      </c>
      <c r="B70" s="3">
        <v>8.1</v>
      </c>
      <c r="C70" s="3">
        <f>(20.31+18.18)/2</f>
        <v>19.244999999999997</v>
      </c>
      <c r="D70" s="3">
        <f>(14.63+15.94)/2</f>
        <v>15.285</v>
      </c>
      <c r="E70" s="3">
        <f>(4.26+4.17)/2</f>
        <v>4.2149999999999999</v>
      </c>
      <c r="F70" s="3">
        <f>(64.68+55.83)/2</f>
        <v>60.255000000000003</v>
      </c>
      <c r="G70" s="3">
        <v>0.03</v>
      </c>
      <c r="H70" s="3">
        <f>(17.31+20.69)/2</f>
        <v>19</v>
      </c>
      <c r="I70">
        <v>0</v>
      </c>
      <c r="J70">
        <v>33</v>
      </c>
      <c r="K70">
        <v>173</v>
      </c>
      <c r="L70">
        <v>61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 t="s">
        <v>20</v>
      </c>
      <c r="W70">
        <v>1</v>
      </c>
      <c r="X70" t="s">
        <v>23</v>
      </c>
      <c r="Y70" t="s">
        <v>28</v>
      </c>
      <c r="Z70">
        <v>1.27155</v>
      </c>
    </row>
    <row r="71" spans="1:26" x14ac:dyDescent="0.35">
      <c r="A71" s="2">
        <v>44523.738194444442</v>
      </c>
      <c r="B71" s="3">
        <v>7.9</v>
      </c>
      <c r="C71" s="3">
        <f>(18.25+20.65)/2</f>
        <v>19.45</v>
      </c>
      <c r="D71" s="3">
        <f>(16.06+14.13)/2</f>
        <v>15.094999999999999</v>
      </c>
      <c r="E71" s="3">
        <f>(4.68+4.46)/2</f>
        <v>4.57</v>
      </c>
      <c r="F71" s="3">
        <f>(63.47+54.51)/2</f>
        <v>58.989999999999995</v>
      </c>
      <c r="G71" s="3">
        <v>0.03</v>
      </c>
      <c r="H71" s="3">
        <f>(21+17.37)/2</f>
        <v>19.185000000000002</v>
      </c>
      <c r="I71">
        <v>0</v>
      </c>
      <c r="J71">
        <v>37</v>
      </c>
      <c r="K71">
        <v>160</v>
      </c>
      <c r="L71">
        <v>0</v>
      </c>
      <c r="M71">
        <v>1</v>
      </c>
      <c r="N71">
        <v>-1</v>
      </c>
      <c r="O71">
        <v>2</v>
      </c>
      <c r="P71">
        <v>2</v>
      </c>
      <c r="Q71">
        <v>2</v>
      </c>
      <c r="R71">
        <v>1</v>
      </c>
      <c r="S71">
        <v>1</v>
      </c>
      <c r="T71">
        <v>1</v>
      </c>
      <c r="U71">
        <v>1</v>
      </c>
      <c r="V71" t="s">
        <v>19</v>
      </c>
      <c r="W71">
        <v>1</v>
      </c>
      <c r="X71" t="s">
        <v>23</v>
      </c>
      <c r="Y71" t="s">
        <v>28</v>
      </c>
      <c r="Z71">
        <v>1.4301999999999999</v>
      </c>
    </row>
    <row r="72" spans="1:26" x14ac:dyDescent="0.35">
      <c r="B72" s="3"/>
      <c r="C72" s="3"/>
      <c r="D72" s="3"/>
      <c r="E72" s="3"/>
      <c r="F72" s="3"/>
      <c r="G72" s="3"/>
      <c r="H72" s="3"/>
    </row>
    <row r="73" spans="1:26" x14ac:dyDescent="0.35">
      <c r="B73" s="3"/>
      <c r="C73" s="3"/>
      <c r="D73" s="3"/>
      <c r="E73" s="3"/>
      <c r="F73" s="3"/>
      <c r="G73" s="3"/>
      <c r="H73" s="3"/>
    </row>
    <row r="74" spans="1:26" x14ac:dyDescent="0.35">
      <c r="C74" s="3"/>
      <c r="D74" s="3"/>
      <c r="E74" s="3"/>
      <c r="F74" s="3"/>
      <c r="G74" s="3"/>
      <c r="H74" s="3"/>
    </row>
    <row r="75" spans="1:26" x14ac:dyDescent="0.35">
      <c r="C75" s="3"/>
      <c r="D75" s="3"/>
      <c r="E75" s="3"/>
      <c r="F75" s="3"/>
      <c r="G75" s="3"/>
      <c r="H7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Cigarini</cp:lastModifiedBy>
  <dcterms:created xsi:type="dcterms:W3CDTF">2022-06-09T09:51:26Z</dcterms:created>
  <dcterms:modified xsi:type="dcterms:W3CDTF">2022-06-09T14:50:20Z</dcterms:modified>
</cp:coreProperties>
</file>