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.cigarini\Desktop\Projekte\2019_E-MetroBus\Inhalt\AP5\ML_Modell\Daten\"/>
    </mc:Choice>
  </mc:AlternateContent>
  <xr:revisionPtr revIDLastSave="0" documentId="13_ncr:1_{5717EB3F-9E2B-4D24-A9B8-0FB8B2157216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69" i="1" l="1"/>
  <c r="C69" i="1"/>
  <c r="G69" i="1"/>
  <c r="E69" i="1"/>
  <c r="D56" i="1"/>
  <c r="C56" i="1"/>
  <c r="G56" i="1"/>
  <c r="F56" i="1"/>
  <c r="E56" i="1"/>
  <c r="D113" i="1"/>
  <c r="C113" i="1"/>
  <c r="G113" i="1"/>
  <c r="E113" i="1"/>
  <c r="G112" i="1"/>
  <c r="E112" i="1"/>
  <c r="D112" i="1"/>
  <c r="C112" i="1"/>
  <c r="G111" i="1"/>
  <c r="E111" i="1"/>
  <c r="D111" i="1"/>
  <c r="C111" i="1"/>
  <c r="D110" i="1"/>
  <c r="C110" i="1"/>
  <c r="G110" i="1"/>
  <c r="E110" i="1"/>
  <c r="D9" i="1"/>
  <c r="C9" i="1"/>
  <c r="G9" i="1"/>
  <c r="E9" i="1"/>
  <c r="C12" i="1"/>
  <c r="D12" i="1"/>
  <c r="G12" i="1"/>
  <c r="E12" i="1"/>
  <c r="D13" i="1"/>
  <c r="C13" i="1"/>
  <c r="G13" i="1"/>
  <c r="E13" i="1"/>
  <c r="D20" i="1"/>
  <c r="C20" i="1"/>
  <c r="G20" i="1"/>
  <c r="E20" i="1"/>
  <c r="D25" i="1"/>
  <c r="C25" i="1"/>
  <c r="E25" i="1"/>
  <c r="D43" i="1"/>
  <c r="G43" i="1"/>
  <c r="E43" i="1"/>
  <c r="E47" i="1"/>
  <c r="D47" i="1"/>
  <c r="C47" i="1"/>
  <c r="D48" i="1"/>
  <c r="C48" i="1"/>
  <c r="E48" i="1"/>
  <c r="D54" i="1"/>
  <c r="C54" i="1"/>
  <c r="G54" i="1"/>
  <c r="E54" i="1"/>
  <c r="D67" i="1"/>
  <c r="C67" i="1"/>
  <c r="G67" i="1"/>
  <c r="E67" i="1"/>
  <c r="D70" i="1"/>
  <c r="C70" i="1"/>
  <c r="G70" i="1"/>
  <c r="E70" i="1"/>
  <c r="D84" i="1"/>
  <c r="C84" i="1"/>
  <c r="G84" i="1"/>
  <c r="E84" i="1"/>
  <c r="D98" i="1"/>
  <c r="C98" i="1"/>
  <c r="G98" i="1"/>
  <c r="E98" i="1"/>
  <c r="D90" i="1"/>
  <c r="C90" i="1"/>
  <c r="G90" i="1"/>
  <c r="E90" i="1"/>
  <c r="D45" i="1"/>
  <c r="C45" i="1"/>
  <c r="G45" i="1"/>
  <c r="E45" i="1"/>
  <c r="D115" i="1"/>
  <c r="C115" i="1"/>
  <c r="G115" i="1"/>
  <c r="F115" i="1"/>
  <c r="E115" i="1"/>
  <c r="D107" i="1"/>
  <c r="C107" i="1"/>
  <c r="G107" i="1"/>
  <c r="E107" i="1"/>
  <c r="D102" i="1"/>
  <c r="C102" i="1"/>
  <c r="G102" i="1"/>
  <c r="E102" i="1"/>
  <c r="D101" i="1"/>
  <c r="C101" i="1"/>
  <c r="G101" i="1"/>
  <c r="E101" i="1"/>
  <c r="D97" i="1"/>
  <c r="C97" i="1"/>
  <c r="G97" i="1"/>
  <c r="F97" i="1"/>
  <c r="E97" i="1"/>
  <c r="D96" i="1"/>
  <c r="C96" i="1"/>
  <c r="G96" i="1"/>
  <c r="E96" i="1"/>
  <c r="D93" i="1"/>
  <c r="C93" i="1"/>
  <c r="G93" i="1"/>
  <c r="E93" i="1"/>
  <c r="D91" i="1"/>
  <c r="C91" i="1"/>
  <c r="G91" i="1"/>
  <c r="E91" i="1"/>
  <c r="D89" i="1"/>
  <c r="C89" i="1"/>
  <c r="G89" i="1"/>
  <c r="E89" i="1"/>
  <c r="G85" i="1"/>
  <c r="C86" i="1"/>
  <c r="D86" i="1"/>
  <c r="G86" i="1"/>
  <c r="E86" i="1"/>
  <c r="D85" i="1" l="1"/>
  <c r="C85" i="1"/>
  <c r="F85" i="1"/>
  <c r="E85" i="1"/>
  <c r="D79" i="1"/>
  <c r="C79" i="1"/>
  <c r="G79" i="1"/>
  <c r="F79" i="1"/>
  <c r="E79" i="1"/>
  <c r="D59" i="1"/>
  <c r="C59" i="1"/>
  <c r="G59" i="1"/>
  <c r="E59" i="1"/>
  <c r="C58" i="1"/>
  <c r="D58" i="1"/>
  <c r="G58" i="1"/>
  <c r="E58" i="1"/>
  <c r="D49" i="1"/>
  <c r="C49" i="1"/>
  <c r="G49" i="1"/>
  <c r="E49" i="1"/>
  <c r="D41" i="1"/>
  <c r="C41" i="1"/>
  <c r="G41" i="1"/>
  <c r="E41" i="1"/>
  <c r="E37" i="1"/>
  <c r="D37" i="1"/>
  <c r="C37" i="1"/>
  <c r="D36" i="1"/>
  <c r="C36" i="1"/>
  <c r="E36" i="1"/>
  <c r="C32" i="1"/>
  <c r="D32" i="1"/>
  <c r="G32" i="1"/>
  <c r="E32" i="1"/>
  <c r="G31" i="1"/>
  <c r="E31" i="1"/>
  <c r="D31" i="1"/>
  <c r="C31" i="1"/>
  <c r="D30" i="1"/>
  <c r="C30" i="1"/>
  <c r="G30" i="1"/>
  <c r="E30" i="1"/>
  <c r="D29" i="1"/>
  <c r="C29" i="1"/>
  <c r="G29" i="1"/>
  <c r="E29" i="1"/>
  <c r="D24" i="1"/>
  <c r="C24" i="1"/>
  <c r="G24" i="1"/>
  <c r="E24" i="1"/>
  <c r="D23" i="1"/>
  <c r="C23" i="1"/>
  <c r="G23" i="1"/>
  <c r="E23" i="1"/>
  <c r="D19" i="1"/>
  <c r="C19" i="1"/>
  <c r="G19" i="1"/>
  <c r="E19" i="1"/>
  <c r="D10" i="1"/>
  <c r="C10" i="1"/>
  <c r="G10" i="1"/>
  <c r="E10" i="1"/>
  <c r="D6" i="1"/>
  <c r="C6" i="1"/>
  <c r="G6" i="1"/>
  <c r="E6" i="1"/>
  <c r="D4" i="1"/>
  <c r="C4" i="1"/>
  <c r="G4" i="1"/>
  <c r="E4" i="1"/>
  <c r="C2" i="1"/>
  <c r="D2" i="1"/>
  <c r="G2" i="1"/>
  <c r="E2" i="1"/>
</calcChain>
</file>

<file path=xl/sharedStrings.xml><?xml version="1.0" encoding="utf-8"?>
<sst xmlns="http://schemas.openxmlformats.org/spreadsheetml/2006/main" count="403" uniqueCount="48">
  <si>
    <t>Timestamp</t>
  </si>
  <si>
    <t>Gender</t>
  </si>
  <si>
    <t>Age</t>
  </si>
  <si>
    <t>Height</t>
  </si>
  <si>
    <t>Weight</t>
  </si>
  <si>
    <t>Well-being</t>
  </si>
  <si>
    <t>Thermal feeling (global)</t>
  </si>
  <si>
    <t>Thermal feeling (head)</t>
  </si>
  <si>
    <t>Thermal feeling (hands)</t>
  </si>
  <si>
    <t>Thermal feeling (feet)</t>
  </si>
  <si>
    <t>Thermal comfort (global)</t>
  </si>
  <si>
    <t>Thermal comfort (head)</t>
  </si>
  <si>
    <t>Thermal comfort (hands)</t>
  </si>
  <si>
    <t>Thermal comfort (feet)</t>
  </si>
  <si>
    <t>Activity</t>
  </si>
  <si>
    <t>Position</t>
  </si>
  <si>
    <t>Window / alley</t>
  </si>
  <si>
    <t>Icl</t>
  </si>
  <si>
    <t>Duration</t>
  </si>
  <si>
    <t>Bereich 5 - Tür 3</t>
  </si>
  <si>
    <t>Bereich 2 - Zwischen Tür 1 und Tür 2</t>
  </si>
  <si>
    <t>Bereich 1 - Tür 1</t>
  </si>
  <si>
    <t>Bereich 6 - Hinterbereich</t>
  </si>
  <si>
    <t>Bereich 3 - Tür 2</t>
  </si>
  <si>
    <t>Bereich 4 - Gelenkbereich</t>
  </si>
  <si>
    <t>Fenster</t>
  </si>
  <si>
    <t>Gang</t>
  </si>
  <si>
    <t>Window</t>
  </si>
  <si>
    <t>Alley</t>
  </si>
  <si>
    <t>Between 0 and 5 minutes</t>
  </si>
  <si>
    <t>Between 0 and 10 minutes</t>
  </si>
  <si>
    <t>Between 0 and 15 minutes</t>
  </si>
  <si>
    <t>Between 10 and 15 minutes</t>
  </si>
  <si>
    <t>NA</t>
  </si>
  <si>
    <t>Between 30 and 40 minutes</t>
  </si>
  <si>
    <t>Between 0 and 20 minutes</t>
  </si>
  <si>
    <t>Between 0 and 25 minutes</t>
  </si>
  <si>
    <t>Between 10 and 25 minutes</t>
  </si>
  <si>
    <t>Between 15 and 25 minutes</t>
  </si>
  <si>
    <t>Between 10 and 20 minutes</t>
  </si>
  <si>
    <t>Between 15 and 30 minutes</t>
  </si>
  <si>
    <t>Between 20 and 30 minutes</t>
  </si>
  <si>
    <t>Outside Temperature</t>
  </si>
  <si>
    <t>Avg. Temperature</t>
  </si>
  <si>
    <t>Temperature difference</t>
  </si>
  <si>
    <t>RH</t>
  </si>
  <si>
    <t>va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</si>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</sst>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9"/>
  <sheetViews>
    <sheetView tabSelected="1" workbookViewId="0">
      <pane ySplit="1" topLeftCell="A63" activePane="bottomLeft" state="frozen"/>
      <selection pane="bottomLeft" activeCell="D70" sqref="D70"/>
    </sheetView>
  </sheetViews>
  <sheetFormatPr baseColWidth="10" defaultColWidth="8.7265625" defaultRowHeight="14.5" x14ac:dyDescent="0.35"/>
  <cols>
    <col min="1" max="1" width="17.7265625" bestFit="1" customWidth="1"/>
    <col min="2" max="2" width="18.90625" bestFit="1" customWidth="1"/>
    <col min="3" max="3" width="15.90625" bestFit="1" customWidth="1"/>
    <col min="4" max="4" width="20.81640625" bestFit="1" customWidth="1"/>
    <col min="5" max="5" width="5.36328125" bestFit="1" customWidth="1"/>
    <col min="6" max="6" width="4.36328125" bestFit="1" customWidth="1"/>
    <col min="7" max="7" width="6" bestFit="1" customWidth="1"/>
    <col min="8" max="8" width="7" bestFit="1" customWidth="1"/>
    <col min="9" max="9" width="3.90625" bestFit="1" customWidth="1"/>
    <col min="10" max="10" width="6.26953125" bestFit="1" customWidth="1"/>
    <col min="11" max="11" width="6.81640625" bestFit="1" customWidth="1"/>
    <col min="12" max="12" width="9.7265625" bestFit="1" customWidth="1"/>
    <col min="13" max="13" width="20.54296875" bestFit="1" customWidth="1"/>
    <col min="14" max="14" width="19.7265625" bestFit="1" customWidth="1"/>
    <col min="15" max="15" width="20.6328125" bestFit="1" customWidth="1"/>
    <col min="16" max="16" width="18.90625" bestFit="1" customWidth="1"/>
    <col min="17" max="17" width="21.81640625" bestFit="1" customWidth="1"/>
    <col min="18" max="18" width="21" bestFit="1" customWidth="1"/>
    <col min="19" max="19" width="21.90625" bestFit="1" customWidth="1"/>
    <col min="20" max="20" width="20.08984375" bestFit="1" customWidth="1"/>
    <col min="21" max="21" width="24" bestFit="1" customWidth="1"/>
    <col min="22" max="22" width="7" bestFit="1" customWidth="1"/>
    <col min="23" max="23" width="31.1796875" bestFit="1" customWidth="1"/>
    <col min="24" max="24" width="13.36328125" bestFit="1" customWidth="1"/>
    <col min="25" max="25" width="7.81640625" bestFit="1" customWidth="1"/>
  </cols>
  <sheetData>
    <row r="1" spans="1:25" x14ac:dyDescent="0.3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18</v>
      </c>
      <c r="V1" s="1" t="s">
        <v>14</v>
      </c>
      <c r="W1" s="1" t="s">
        <v>15</v>
      </c>
      <c r="X1" s="1" t="s">
        <v>16</v>
      </c>
      <c r="Y1" s="1" t="s">
        <v>17</v>
      </c>
    </row>
    <row r="2" spans="1:25" x14ac:dyDescent="0.35">
      <c r="A2" s="2">
        <v>44736.327777777777</v>
      </c>
      <c r="B2" s="3">
        <v>23.405999999999999</v>
      </c>
      <c r="C2" s="3">
        <f>(24.266+24.248)/2</f>
        <v>24.256999999999998</v>
      </c>
      <c r="D2" s="3">
        <f>(0.61+0.48)/2</f>
        <v>0.54499999999999993</v>
      </c>
      <c r="E2" s="3">
        <f>(51.76+54-55)/2</f>
        <v>25.379999999999995</v>
      </c>
      <c r="F2" s="3">
        <v>0.15</v>
      </c>
      <c r="G2" s="3">
        <f>(23.81+24.25)/2</f>
        <v>24.03</v>
      </c>
      <c r="H2">
        <v>1</v>
      </c>
      <c r="I2">
        <v>40</v>
      </c>
      <c r="J2">
        <v>187</v>
      </c>
      <c r="K2">
        <v>80</v>
      </c>
      <c r="L2">
        <v>2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29</v>
      </c>
      <c r="V2">
        <v>1</v>
      </c>
      <c r="W2" t="s">
        <v>19</v>
      </c>
      <c r="X2" t="s">
        <v>25</v>
      </c>
      <c r="Y2">
        <v>0.55345</v>
      </c>
    </row>
    <row r="3" spans="1:25" x14ac:dyDescent="0.35">
      <c r="A3" s="2">
        <v>44736.329861111109</v>
      </c>
      <c r="B3" s="3">
        <v>23.594000000000001</v>
      </c>
      <c r="C3" s="3">
        <v>24.75</v>
      </c>
      <c r="D3" s="3">
        <v>1.29</v>
      </c>
      <c r="E3" s="3">
        <v>54.72</v>
      </c>
      <c r="F3" s="3">
        <v>0.02</v>
      </c>
      <c r="G3" s="3">
        <v>23.62</v>
      </c>
      <c r="H3">
        <v>0</v>
      </c>
      <c r="I3">
        <v>44</v>
      </c>
      <c r="J3">
        <v>163</v>
      </c>
      <c r="K3">
        <v>62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30</v>
      </c>
      <c r="V3">
        <v>1</v>
      </c>
      <c r="W3" t="s">
        <v>20</v>
      </c>
      <c r="X3" t="s">
        <v>25</v>
      </c>
      <c r="Y3">
        <v>0.74549999999999994</v>
      </c>
    </row>
    <row r="4" spans="1:25" x14ac:dyDescent="0.35">
      <c r="A4" s="2">
        <v>44736.329861111109</v>
      </c>
      <c r="B4" s="3">
        <v>23.594000000000001</v>
      </c>
      <c r="C4" s="3">
        <f>(24.536+24.6)/2</f>
        <v>24.568000000000001</v>
      </c>
      <c r="D4" s="3">
        <f>(0.52+0.43)/2</f>
        <v>0.47499999999999998</v>
      </c>
      <c r="E4" s="3">
        <f>(53.19+55.21)/2</f>
        <v>54.2</v>
      </c>
      <c r="F4" s="3">
        <v>0.1</v>
      </c>
      <c r="G4" s="3">
        <f>(24+24.5)/2</f>
        <v>24.25</v>
      </c>
      <c r="H4">
        <v>0</v>
      </c>
      <c r="I4">
        <v>26</v>
      </c>
      <c r="J4">
        <v>167</v>
      </c>
      <c r="K4">
        <v>62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 t="s">
        <v>30</v>
      </c>
      <c r="V4">
        <v>1</v>
      </c>
      <c r="W4" t="s">
        <v>19</v>
      </c>
      <c r="X4" t="s">
        <v>25</v>
      </c>
      <c r="Y4">
        <v>0.45324999999999999</v>
      </c>
    </row>
    <row r="5" spans="1:25" x14ac:dyDescent="0.35">
      <c r="A5" s="2">
        <v>44736.330509259264</v>
      </c>
      <c r="B5" s="3">
        <v>23.905999999999999</v>
      </c>
      <c r="C5" s="3">
        <v>24.72</v>
      </c>
      <c r="D5" s="3">
        <v>1.03</v>
      </c>
      <c r="E5" s="3">
        <v>55.04</v>
      </c>
      <c r="F5" s="3">
        <v>0.02</v>
      </c>
      <c r="G5" s="3">
        <v>23.69</v>
      </c>
      <c r="H5">
        <v>1</v>
      </c>
      <c r="I5">
        <v>35</v>
      </c>
      <c r="J5">
        <v>189</v>
      </c>
      <c r="K5">
        <v>85</v>
      </c>
      <c r="L5">
        <v>1</v>
      </c>
      <c r="M5">
        <v>2</v>
      </c>
      <c r="N5">
        <v>2</v>
      </c>
      <c r="O5">
        <v>1</v>
      </c>
      <c r="P5">
        <v>0</v>
      </c>
      <c r="Q5">
        <v>1</v>
      </c>
      <c r="R5">
        <v>2</v>
      </c>
      <c r="S5">
        <v>0</v>
      </c>
      <c r="T5">
        <v>1</v>
      </c>
      <c r="U5" t="s">
        <v>30</v>
      </c>
      <c r="V5">
        <v>1</v>
      </c>
      <c r="W5" t="s">
        <v>20</v>
      </c>
      <c r="X5" t="s">
        <v>26</v>
      </c>
      <c r="Y5">
        <v>0.55345</v>
      </c>
    </row>
    <row r="6" spans="1:25" x14ac:dyDescent="0.35">
      <c r="A6" s="2">
        <v>44736.331944444442</v>
      </c>
      <c r="B6" s="3">
        <v>24</v>
      </c>
      <c r="C6" s="3">
        <f>(24.75+25.06)/2</f>
        <v>24.905000000000001</v>
      </c>
      <c r="D6" s="3">
        <f>(1.91+0.35)/2</f>
        <v>1.1299999999999999</v>
      </c>
      <c r="E6" s="3">
        <f>(53.42+55.29)/2</f>
        <v>54.355000000000004</v>
      </c>
      <c r="F6" s="3">
        <v>7.0000000000000007E-2</v>
      </c>
      <c r="G6" s="3">
        <f>(24.5+24.19)/2</f>
        <v>24.344999999999999</v>
      </c>
      <c r="H6">
        <v>0</v>
      </c>
      <c r="I6">
        <v>42</v>
      </c>
      <c r="J6">
        <v>166</v>
      </c>
      <c r="K6">
        <v>120</v>
      </c>
      <c r="L6">
        <v>0</v>
      </c>
      <c r="M6">
        <v>2</v>
      </c>
      <c r="N6">
        <v>3</v>
      </c>
      <c r="O6">
        <v>1</v>
      </c>
      <c r="P6">
        <v>1</v>
      </c>
      <c r="Q6">
        <v>1</v>
      </c>
      <c r="R6">
        <v>2</v>
      </c>
      <c r="S6">
        <v>0</v>
      </c>
      <c r="T6">
        <v>2</v>
      </c>
      <c r="U6" t="s">
        <v>31</v>
      </c>
      <c r="V6">
        <v>1</v>
      </c>
      <c r="W6" t="s">
        <v>19</v>
      </c>
      <c r="X6" t="s">
        <v>25</v>
      </c>
      <c r="Y6">
        <v>0.46994999999999998</v>
      </c>
    </row>
    <row r="7" spans="1:25" x14ac:dyDescent="0.35">
      <c r="A7" s="2">
        <v>44736.333923611113</v>
      </c>
      <c r="B7" s="3">
        <v>24</v>
      </c>
      <c r="C7" s="3">
        <v>25.24</v>
      </c>
      <c r="D7" s="3">
        <v>0.9</v>
      </c>
      <c r="E7" s="3">
        <v>55.38</v>
      </c>
      <c r="F7" s="3">
        <v>0</v>
      </c>
      <c r="G7" s="3">
        <v>24.06</v>
      </c>
      <c r="H7">
        <v>0</v>
      </c>
      <c r="I7">
        <v>37</v>
      </c>
      <c r="J7">
        <v>172</v>
      </c>
      <c r="K7">
        <v>60</v>
      </c>
      <c r="L7">
        <v>2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 t="s">
        <v>30</v>
      </c>
      <c r="V7">
        <v>1</v>
      </c>
      <c r="W7" t="s">
        <v>20</v>
      </c>
      <c r="X7" t="s">
        <v>25</v>
      </c>
      <c r="Y7">
        <v>0.41149999999999998</v>
      </c>
    </row>
    <row r="8" spans="1:25" x14ac:dyDescent="0.35">
      <c r="A8" s="2">
        <v>44736.334027777782</v>
      </c>
      <c r="B8" s="3">
        <v>24</v>
      </c>
      <c r="C8" s="3">
        <v>24.66</v>
      </c>
      <c r="D8" s="3">
        <v>1.21</v>
      </c>
      <c r="E8" s="3">
        <v>54.43</v>
      </c>
      <c r="F8" s="3">
        <v>0.03</v>
      </c>
      <c r="G8" s="3">
        <v>24.44</v>
      </c>
      <c r="H8">
        <v>1</v>
      </c>
      <c r="I8">
        <v>58</v>
      </c>
      <c r="J8">
        <v>176</v>
      </c>
      <c r="K8">
        <v>63</v>
      </c>
      <c r="L8">
        <v>1</v>
      </c>
      <c r="M8">
        <v>0</v>
      </c>
      <c r="N8">
        <v>-1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 t="s">
        <v>32</v>
      </c>
      <c r="V8">
        <v>1</v>
      </c>
      <c r="W8" t="s">
        <v>21</v>
      </c>
      <c r="X8" t="s">
        <v>25</v>
      </c>
      <c r="Y8">
        <v>0.40315000000000001</v>
      </c>
    </row>
    <row r="9" spans="1:25" x14ac:dyDescent="0.35">
      <c r="A9" s="2">
        <v>44736.334722222222</v>
      </c>
      <c r="B9" s="3">
        <v>24.094000000000001</v>
      </c>
      <c r="C9" s="3">
        <f>(24.86+25.01)/2</f>
        <v>24.935000000000002</v>
      </c>
      <c r="D9" s="3">
        <f>(0.61+0.35)/2</f>
        <v>0.48</v>
      </c>
      <c r="E9" s="3">
        <f>(54.99+54.11)/2</f>
        <v>54.55</v>
      </c>
      <c r="F9" s="3">
        <v>0.39</v>
      </c>
      <c r="G9" s="3">
        <f>(24.25+24.19)/2</f>
        <v>24.22</v>
      </c>
      <c r="H9">
        <v>1</v>
      </c>
      <c r="I9">
        <v>31</v>
      </c>
      <c r="J9">
        <v>182</v>
      </c>
      <c r="K9">
        <v>105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 t="s">
        <v>32</v>
      </c>
      <c r="V9">
        <v>1</v>
      </c>
      <c r="W9" t="s">
        <v>22</v>
      </c>
      <c r="X9" t="s">
        <v>25</v>
      </c>
      <c r="Y9">
        <v>0.75385000000000002</v>
      </c>
    </row>
    <row r="10" spans="1:25" x14ac:dyDescent="0.35">
      <c r="A10" s="2">
        <v>44736.334722222222</v>
      </c>
      <c r="B10" s="3">
        <v>24.094000000000001</v>
      </c>
      <c r="C10" s="3">
        <f>(25.35+25.11)/2</f>
        <v>25.23</v>
      </c>
      <c r="D10" s="3">
        <f>(0.99+0.47)/2</f>
        <v>0.73</v>
      </c>
      <c r="E10" s="3">
        <f>(54.24+55.81)/2</f>
        <v>55.025000000000006</v>
      </c>
      <c r="F10" s="3">
        <v>7.0000000000000007E-2</v>
      </c>
      <c r="G10" s="3">
        <f>(24.5+24.87)/2</f>
        <v>24.685000000000002</v>
      </c>
      <c r="H10">
        <v>1</v>
      </c>
      <c r="I10">
        <v>42</v>
      </c>
      <c r="J10">
        <v>180</v>
      </c>
      <c r="K10">
        <v>80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30</v>
      </c>
      <c r="V10">
        <v>1</v>
      </c>
      <c r="W10" t="s">
        <v>19</v>
      </c>
      <c r="X10" t="s">
        <v>25</v>
      </c>
      <c r="Y10">
        <v>0.46160000000000001</v>
      </c>
    </row>
    <row r="11" spans="1:25" x14ac:dyDescent="0.35">
      <c r="A11" s="2">
        <v>44736.334722222222</v>
      </c>
      <c r="B11" s="3">
        <v>24.094000000000001</v>
      </c>
      <c r="C11" s="3">
        <v>25.36</v>
      </c>
      <c r="D11" s="3">
        <v>0.94</v>
      </c>
      <c r="E11" s="3">
        <v>55.42</v>
      </c>
      <c r="F11" s="3">
        <v>0.03</v>
      </c>
      <c r="G11" s="3">
        <v>24.19</v>
      </c>
      <c r="H11">
        <v>1</v>
      </c>
      <c r="I11">
        <v>56</v>
      </c>
      <c r="J11">
        <v>183</v>
      </c>
      <c r="K11">
        <v>120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32</v>
      </c>
      <c r="V11">
        <v>1</v>
      </c>
      <c r="W11" t="s">
        <v>20</v>
      </c>
      <c r="X11" t="s">
        <v>25</v>
      </c>
      <c r="Y11">
        <v>0.68705000000000005</v>
      </c>
    </row>
    <row r="12" spans="1:25" x14ac:dyDescent="0.35">
      <c r="A12" s="2">
        <v>44736.335092592592</v>
      </c>
      <c r="B12" s="3">
        <v>24.094000000000001</v>
      </c>
      <c r="C12" s="3">
        <f>(24.91+25.07)/2</f>
        <v>24.990000000000002</v>
      </c>
      <c r="D12" s="3">
        <f>(0.35+0.6)/2</f>
        <v>0.47499999999999998</v>
      </c>
      <c r="E12" s="3">
        <f>(53.78+55.04)/2</f>
        <v>54.41</v>
      </c>
      <c r="F12" s="3">
        <v>0.24</v>
      </c>
      <c r="G12" s="3">
        <f>(24.31+24.25)/2</f>
        <v>24.28</v>
      </c>
      <c r="H12">
        <v>1</v>
      </c>
      <c r="I12">
        <v>32</v>
      </c>
      <c r="J12">
        <v>183</v>
      </c>
      <c r="K12">
        <v>72</v>
      </c>
      <c r="L12">
        <v>1</v>
      </c>
      <c r="M12">
        <v>-2</v>
      </c>
      <c r="N12">
        <v>-2</v>
      </c>
      <c r="O12">
        <v>0</v>
      </c>
      <c r="P12">
        <v>-1</v>
      </c>
      <c r="Q12">
        <v>0</v>
      </c>
      <c r="R12">
        <v>0</v>
      </c>
      <c r="S12">
        <v>0</v>
      </c>
      <c r="T12">
        <v>0</v>
      </c>
      <c r="U12" t="s">
        <v>30</v>
      </c>
      <c r="V12">
        <v>1</v>
      </c>
      <c r="W12" t="s">
        <v>22</v>
      </c>
      <c r="X12" t="s">
        <v>25</v>
      </c>
      <c r="Y12">
        <v>0.46160000000000001</v>
      </c>
    </row>
    <row r="13" spans="1:25" x14ac:dyDescent="0.35">
      <c r="A13" s="2">
        <v>44736.336805555547</v>
      </c>
      <c r="B13" s="3">
        <v>24.312999999999999</v>
      </c>
      <c r="C13" s="3">
        <f>(25.2+25.05)/2</f>
        <v>25.125</v>
      </c>
      <c r="D13" s="3">
        <f>(0.3+0.6)/2</f>
        <v>0.44999999999999996</v>
      </c>
      <c r="E13" s="3">
        <f>(53.31+55.1)/2</f>
        <v>54.204999999999998</v>
      </c>
      <c r="F13" s="3">
        <v>0.39</v>
      </c>
      <c r="G13" s="3">
        <f>(24.37+24.5)/2</f>
        <v>24.435000000000002</v>
      </c>
      <c r="H13">
        <v>0</v>
      </c>
      <c r="I13">
        <v>52</v>
      </c>
      <c r="J13">
        <v>171</v>
      </c>
      <c r="K13">
        <v>68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31</v>
      </c>
      <c r="V13">
        <v>1</v>
      </c>
      <c r="W13" t="s">
        <v>22</v>
      </c>
      <c r="X13" t="s">
        <v>26</v>
      </c>
      <c r="Y13">
        <v>0.43654999999999999</v>
      </c>
    </row>
    <row r="14" spans="1:25" x14ac:dyDescent="0.35">
      <c r="A14" s="2">
        <v>44736.337500000001</v>
      </c>
      <c r="B14" s="3">
        <v>24.405999999999999</v>
      </c>
      <c r="C14" s="3">
        <v>24.997499999999999</v>
      </c>
      <c r="D14" s="3">
        <v>1.27</v>
      </c>
      <c r="E14" s="3">
        <v>53.98</v>
      </c>
      <c r="F14" s="3">
        <v>0</v>
      </c>
      <c r="G14" s="3">
        <v>24.5</v>
      </c>
      <c r="H14">
        <v>1</v>
      </c>
      <c r="I14">
        <v>31</v>
      </c>
      <c r="J14">
        <v>177</v>
      </c>
      <c r="K14">
        <v>130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 t="s">
        <v>31</v>
      </c>
      <c r="V14">
        <v>1</v>
      </c>
      <c r="W14" t="s">
        <v>23</v>
      </c>
      <c r="X14" t="s">
        <v>25</v>
      </c>
      <c r="Y14">
        <v>0.32800000000000001</v>
      </c>
    </row>
    <row r="15" spans="1:25" x14ac:dyDescent="0.35">
      <c r="A15" s="2">
        <v>44736.338761574072</v>
      </c>
      <c r="B15" s="3">
        <v>24.5</v>
      </c>
      <c r="C15" s="3">
        <v>25.86</v>
      </c>
      <c r="D15" s="3">
        <v>0.98</v>
      </c>
      <c r="E15" s="3">
        <v>54.46</v>
      </c>
      <c r="F15" s="3">
        <v>0.02</v>
      </c>
      <c r="G15" s="3">
        <v>24.63</v>
      </c>
      <c r="H15">
        <v>1</v>
      </c>
      <c r="I15">
        <v>24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33</v>
      </c>
      <c r="V15">
        <v>1</v>
      </c>
      <c r="W15" t="s">
        <v>20</v>
      </c>
      <c r="X15" t="s">
        <v>27</v>
      </c>
      <c r="Y15">
        <v>0.27789999999999998</v>
      </c>
    </row>
    <row r="16" spans="1:25" x14ac:dyDescent="0.35">
      <c r="A16" s="2">
        <v>44736.339583333327</v>
      </c>
      <c r="B16" s="3">
        <v>24.687999999999999</v>
      </c>
      <c r="C16" s="3">
        <v>25.31</v>
      </c>
      <c r="D16" s="3">
        <v>1.32</v>
      </c>
      <c r="E16" s="3">
        <v>54.3</v>
      </c>
      <c r="F16" s="3">
        <v>0.01</v>
      </c>
      <c r="G16" s="3">
        <v>24.75</v>
      </c>
      <c r="H16">
        <v>0</v>
      </c>
      <c r="I16">
        <v>33</v>
      </c>
      <c r="J16">
        <v>155</v>
      </c>
      <c r="K16">
        <v>48</v>
      </c>
      <c r="L16">
        <v>1</v>
      </c>
      <c r="M16">
        <v>2</v>
      </c>
      <c r="N16">
        <v>2</v>
      </c>
      <c r="O16">
        <v>2</v>
      </c>
      <c r="P16">
        <v>2</v>
      </c>
      <c r="Q16">
        <v>1</v>
      </c>
      <c r="R16">
        <v>1</v>
      </c>
      <c r="S16">
        <v>1</v>
      </c>
      <c r="T16">
        <v>1</v>
      </c>
      <c r="U16" t="s">
        <v>30</v>
      </c>
      <c r="V16">
        <v>1</v>
      </c>
      <c r="W16" t="s">
        <v>24</v>
      </c>
      <c r="X16" t="s">
        <v>26</v>
      </c>
      <c r="Y16">
        <v>0.45324999999999999</v>
      </c>
    </row>
    <row r="17" spans="1:25" x14ac:dyDescent="0.35">
      <c r="A17" s="2">
        <v>44736.34097222222</v>
      </c>
      <c r="B17" s="3">
        <v>24.812999999999999</v>
      </c>
      <c r="C17" s="3">
        <v>26.12</v>
      </c>
      <c r="D17" s="3">
        <v>1.1200000000000001</v>
      </c>
      <c r="E17" s="3">
        <v>54.16</v>
      </c>
      <c r="F17" s="3">
        <v>0.03</v>
      </c>
      <c r="G17" s="3">
        <v>24.94</v>
      </c>
      <c r="H17">
        <v>0</v>
      </c>
      <c r="I17">
        <v>0</v>
      </c>
      <c r="J17">
        <v>170</v>
      </c>
      <c r="K17">
        <v>59</v>
      </c>
      <c r="L17">
        <v>0</v>
      </c>
      <c r="M17">
        <v>2</v>
      </c>
      <c r="N17">
        <v>1</v>
      </c>
      <c r="O17">
        <v>2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30</v>
      </c>
      <c r="V17">
        <v>1</v>
      </c>
      <c r="W17" t="s">
        <v>20</v>
      </c>
      <c r="X17" t="s">
        <v>25</v>
      </c>
      <c r="Y17">
        <v>0.45324999999999999</v>
      </c>
    </row>
    <row r="18" spans="1:25" x14ac:dyDescent="0.35">
      <c r="A18" s="2">
        <v>44736.345138888893</v>
      </c>
      <c r="B18" s="3">
        <v>25.094000000000001</v>
      </c>
      <c r="C18" s="3">
        <v>25.73</v>
      </c>
      <c r="D18" s="3">
        <v>1.23</v>
      </c>
      <c r="E18" s="3">
        <v>53.94</v>
      </c>
      <c r="F18" s="3">
        <v>0</v>
      </c>
      <c r="G18" s="3">
        <v>25.25</v>
      </c>
      <c r="H18">
        <v>0</v>
      </c>
      <c r="I18">
        <v>37</v>
      </c>
      <c r="J18">
        <v>172</v>
      </c>
      <c r="K18">
        <v>57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V18" t="s">
        <v>33</v>
      </c>
      <c r="W18" t="s">
        <v>23</v>
      </c>
      <c r="X18" t="s">
        <v>27</v>
      </c>
      <c r="Y18">
        <v>0.88745000000000007</v>
      </c>
    </row>
    <row r="19" spans="1:25" x14ac:dyDescent="0.35">
      <c r="A19" s="2">
        <v>44736.345138888893</v>
      </c>
      <c r="B19" s="3">
        <v>25.094000000000001</v>
      </c>
      <c r="C19" s="3">
        <f>(26.288+26.126)/2</f>
        <v>26.207000000000001</v>
      </c>
      <c r="D19" s="3">
        <f>(0.52+0.83)/2</f>
        <v>0.67500000000000004</v>
      </c>
      <c r="E19" s="3">
        <f>(55.2+53.81)/2</f>
        <v>54.505000000000003</v>
      </c>
      <c r="F19" s="3">
        <v>7.0000000000000007E-2</v>
      </c>
      <c r="G19" s="3">
        <f>(25.62+25.69)/2</f>
        <v>25.655000000000001</v>
      </c>
      <c r="H19">
        <v>1</v>
      </c>
      <c r="I19">
        <v>43</v>
      </c>
      <c r="J19">
        <v>142</v>
      </c>
      <c r="K19">
        <v>85</v>
      </c>
      <c r="L19">
        <v>2</v>
      </c>
      <c r="M19">
        <v>2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V19">
        <v>1</v>
      </c>
      <c r="W19" t="s">
        <v>19</v>
      </c>
      <c r="X19" t="s">
        <v>28</v>
      </c>
      <c r="Y19">
        <v>0.32800000000000001</v>
      </c>
    </row>
    <row r="20" spans="1:25" x14ac:dyDescent="0.35">
      <c r="A20" s="2">
        <v>44736.348611111112</v>
      </c>
      <c r="B20" s="3">
        <v>25.5</v>
      </c>
      <c r="C20" s="3">
        <f>(27+26.714)/2</f>
        <v>26.856999999999999</v>
      </c>
      <c r="D20" s="3">
        <f>(1.12+0.78)/2</f>
        <v>0.95000000000000007</v>
      </c>
      <c r="E20" s="3">
        <f>(50.63+54.64)/2</f>
        <v>52.635000000000005</v>
      </c>
      <c r="F20" s="3">
        <v>0.09</v>
      </c>
      <c r="G20" s="3">
        <f>(25.88+25.81)/2</f>
        <v>25.844999999999999</v>
      </c>
      <c r="H20">
        <v>0</v>
      </c>
      <c r="I20">
        <v>45</v>
      </c>
      <c r="J20">
        <v>172</v>
      </c>
      <c r="K20">
        <v>105</v>
      </c>
      <c r="L20">
        <v>2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 t="s">
        <v>29</v>
      </c>
      <c r="V20">
        <v>1</v>
      </c>
      <c r="W20" t="s">
        <v>22</v>
      </c>
      <c r="X20" t="s">
        <v>25</v>
      </c>
      <c r="Y20">
        <v>0.3614</v>
      </c>
    </row>
    <row r="21" spans="1:25" x14ac:dyDescent="0.35">
      <c r="A21" s="2">
        <v>44736.350138888891</v>
      </c>
      <c r="B21" s="3">
        <v>25.594000000000001</v>
      </c>
      <c r="C21" s="3">
        <v>27.25</v>
      </c>
      <c r="D21" s="3">
        <v>0.64</v>
      </c>
      <c r="E21" s="3">
        <v>52.42</v>
      </c>
      <c r="F21" s="3">
        <v>0.02</v>
      </c>
      <c r="G21" s="3">
        <v>25.69</v>
      </c>
      <c r="H21">
        <v>1</v>
      </c>
      <c r="I21">
        <v>35</v>
      </c>
      <c r="J21">
        <v>189</v>
      </c>
      <c r="K21">
        <v>85</v>
      </c>
      <c r="L21">
        <v>0</v>
      </c>
      <c r="M21">
        <v>2</v>
      </c>
      <c r="N21">
        <v>2</v>
      </c>
      <c r="O21">
        <v>2</v>
      </c>
      <c r="P21">
        <v>1</v>
      </c>
      <c r="Q21">
        <v>1</v>
      </c>
      <c r="R21">
        <v>2</v>
      </c>
      <c r="S21">
        <v>1</v>
      </c>
      <c r="T21">
        <v>1</v>
      </c>
      <c r="U21" t="s">
        <v>34</v>
      </c>
      <c r="V21">
        <v>1</v>
      </c>
      <c r="W21" t="s">
        <v>20</v>
      </c>
      <c r="X21" t="s">
        <v>26</v>
      </c>
      <c r="Y21">
        <v>0.55345</v>
      </c>
    </row>
    <row r="22" spans="1:25" x14ac:dyDescent="0.35">
      <c r="A22" s="2">
        <v>44736.352986111109</v>
      </c>
      <c r="B22" s="3">
        <v>25.594000000000001</v>
      </c>
      <c r="C22" s="3">
        <v>26.37</v>
      </c>
      <c r="D22" s="3">
        <v>1.45</v>
      </c>
      <c r="E22" s="3">
        <v>53.53</v>
      </c>
      <c r="F22" s="3">
        <v>0</v>
      </c>
      <c r="G22" s="3">
        <v>26.06</v>
      </c>
      <c r="H22">
        <v>1</v>
      </c>
      <c r="I22">
        <v>28</v>
      </c>
      <c r="J22">
        <v>174</v>
      </c>
      <c r="K22">
        <v>65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 t="s">
        <v>31</v>
      </c>
      <c r="V22">
        <v>1</v>
      </c>
      <c r="W22" t="s">
        <v>23</v>
      </c>
      <c r="X22" t="s">
        <v>25</v>
      </c>
      <c r="Y22">
        <v>0.89580000000000004</v>
      </c>
    </row>
    <row r="23" spans="1:25" x14ac:dyDescent="0.35">
      <c r="A23" s="2">
        <v>44736.374571759261</v>
      </c>
      <c r="B23" s="3">
        <v>26.594000000000001</v>
      </c>
      <c r="C23" s="3">
        <f>(30.1+29.34)/2</f>
        <v>29.72</v>
      </c>
      <c r="D23" s="3">
        <f>(1.47+0.48)/2</f>
        <v>0.97499999999999998</v>
      </c>
      <c r="E23" s="3">
        <f>(49.74+50.26)/2</f>
        <v>50</v>
      </c>
      <c r="F23" s="3">
        <v>0.09</v>
      </c>
      <c r="G23" s="3">
        <f>(29.19+28.94)/2</f>
        <v>29.065000000000001</v>
      </c>
      <c r="H23">
        <v>0</v>
      </c>
      <c r="I23">
        <v>16</v>
      </c>
      <c r="J23">
        <v>166</v>
      </c>
      <c r="K23">
        <v>58</v>
      </c>
      <c r="L23">
        <v>-1</v>
      </c>
      <c r="M23">
        <v>3</v>
      </c>
      <c r="N23">
        <v>3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 t="s">
        <v>31</v>
      </c>
      <c r="V23">
        <v>1</v>
      </c>
      <c r="W23" t="s">
        <v>19</v>
      </c>
      <c r="X23" t="s">
        <v>26</v>
      </c>
      <c r="Y23">
        <v>0.32800000000000001</v>
      </c>
    </row>
    <row r="24" spans="1:25" x14ac:dyDescent="0.35">
      <c r="A24" s="2">
        <v>44736.37777777778</v>
      </c>
      <c r="B24" s="3">
        <v>26.405999999999999</v>
      </c>
      <c r="C24" s="3">
        <f>(29.598+30.138)/2</f>
        <v>29.868000000000002</v>
      </c>
      <c r="D24" s="3">
        <f>(1.38889+0.5625)/2</f>
        <v>0.97569499999999998</v>
      </c>
      <c r="E24" s="3">
        <f>(51.99+48.52)/2</f>
        <v>50.255000000000003</v>
      </c>
      <c r="F24" s="3">
        <v>8.5000000000000006E-2</v>
      </c>
      <c r="G24" s="3">
        <f>(29.31+29.25)/2</f>
        <v>29.28</v>
      </c>
      <c r="H24">
        <v>1</v>
      </c>
      <c r="I24">
        <v>36</v>
      </c>
      <c r="J24">
        <v>189</v>
      </c>
      <c r="K24">
        <v>78</v>
      </c>
      <c r="L24">
        <v>2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 t="s">
        <v>31</v>
      </c>
      <c r="V24">
        <v>1</v>
      </c>
      <c r="W24" t="s">
        <v>19</v>
      </c>
      <c r="X24" t="s">
        <v>28</v>
      </c>
      <c r="Y24">
        <v>0.6119</v>
      </c>
    </row>
    <row r="25" spans="1:25" x14ac:dyDescent="0.35">
      <c r="A25" s="2">
        <v>44736.378472222219</v>
      </c>
      <c r="B25" s="3">
        <v>26.5</v>
      </c>
      <c r="C25" s="3">
        <f>(29.66+29.46)/2</f>
        <v>29.560000000000002</v>
      </c>
      <c r="D25" s="3">
        <f>(1.26+1.22)/2</f>
        <v>1.24</v>
      </c>
      <c r="E25" s="3">
        <f>(50.56+51.21)/2</f>
        <v>50.885000000000005</v>
      </c>
      <c r="F25" s="3">
        <v>0.1</v>
      </c>
      <c r="G25" s="3">
        <v>28.69</v>
      </c>
      <c r="H25">
        <v>1</v>
      </c>
      <c r="I25">
        <v>38</v>
      </c>
      <c r="J25">
        <v>170</v>
      </c>
      <c r="K25">
        <v>70</v>
      </c>
      <c r="L25">
        <v>0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 t="s">
        <v>35</v>
      </c>
      <c r="V25">
        <v>1</v>
      </c>
      <c r="W25" t="s">
        <v>22</v>
      </c>
      <c r="X25" t="s">
        <v>26</v>
      </c>
      <c r="Y25">
        <v>0.45324999999999999</v>
      </c>
    </row>
    <row r="26" spans="1:25" x14ac:dyDescent="0.35">
      <c r="A26" s="2">
        <v>44736.379386574074</v>
      </c>
      <c r="B26" s="3">
        <v>26.687999999999999</v>
      </c>
      <c r="C26" s="3">
        <v>30.085999999999999</v>
      </c>
      <c r="D26" s="3">
        <v>1.07</v>
      </c>
      <c r="E26" s="3">
        <v>55.48</v>
      </c>
      <c r="F26" s="3">
        <v>0.02</v>
      </c>
      <c r="G26" s="3">
        <v>29.12</v>
      </c>
      <c r="H26">
        <v>1</v>
      </c>
      <c r="I26">
        <v>26</v>
      </c>
      <c r="J26">
        <v>194</v>
      </c>
      <c r="K26">
        <v>104</v>
      </c>
      <c r="L26">
        <v>-1</v>
      </c>
      <c r="M26">
        <v>2</v>
      </c>
      <c r="N26">
        <v>2</v>
      </c>
      <c r="O26">
        <v>1</v>
      </c>
      <c r="P26">
        <v>1</v>
      </c>
      <c r="Q26">
        <v>2</v>
      </c>
      <c r="R26">
        <v>1</v>
      </c>
      <c r="S26">
        <v>1</v>
      </c>
      <c r="T26">
        <v>1</v>
      </c>
      <c r="U26" t="s">
        <v>35</v>
      </c>
      <c r="V26">
        <v>1</v>
      </c>
      <c r="W26" t="s">
        <v>20</v>
      </c>
      <c r="X26" t="s">
        <v>26</v>
      </c>
      <c r="Y26">
        <v>0.55345</v>
      </c>
    </row>
    <row r="27" spans="1:25" x14ac:dyDescent="0.35">
      <c r="A27" s="2">
        <v>44736.382638888892</v>
      </c>
      <c r="B27" s="3">
        <v>27.09</v>
      </c>
      <c r="C27" s="3">
        <v>28.765000000000001</v>
      </c>
      <c r="D27" s="3">
        <v>1.5</v>
      </c>
      <c r="E27" s="3">
        <v>48.35</v>
      </c>
      <c r="F27" s="3">
        <v>0</v>
      </c>
      <c r="G27" s="3">
        <v>28.31</v>
      </c>
      <c r="H27">
        <v>1</v>
      </c>
      <c r="I27">
        <v>60</v>
      </c>
      <c r="J27">
        <v>176</v>
      </c>
      <c r="K27">
        <v>76</v>
      </c>
      <c r="L27">
        <v>1</v>
      </c>
      <c r="M27">
        <v>-1</v>
      </c>
      <c r="N27">
        <v>-1</v>
      </c>
      <c r="O27">
        <v>-2</v>
      </c>
      <c r="P27">
        <v>-2</v>
      </c>
      <c r="Q27">
        <v>0</v>
      </c>
      <c r="R27">
        <v>0</v>
      </c>
      <c r="S27">
        <v>0</v>
      </c>
      <c r="T27">
        <v>0</v>
      </c>
      <c r="U27" t="s">
        <v>29</v>
      </c>
      <c r="V27">
        <v>1</v>
      </c>
      <c r="W27" t="s">
        <v>23</v>
      </c>
      <c r="X27" t="s">
        <v>26</v>
      </c>
      <c r="Y27">
        <v>0.46160000000000001</v>
      </c>
    </row>
    <row r="28" spans="1:25" x14ac:dyDescent="0.35">
      <c r="A28" s="2">
        <v>44736.382638888892</v>
      </c>
      <c r="B28" s="3">
        <v>27.09</v>
      </c>
      <c r="C28" s="3">
        <v>28.765000000000001</v>
      </c>
      <c r="D28" s="3">
        <v>1.5</v>
      </c>
      <c r="E28" s="3">
        <v>48.35</v>
      </c>
      <c r="F28" s="3">
        <v>0</v>
      </c>
      <c r="G28" s="3">
        <v>28.31</v>
      </c>
      <c r="H28">
        <v>0</v>
      </c>
      <c r="I28">
        <v>40</v>
      </c>
      <c r="J28">
        <v>158</v>
      </c>
      <c r="K28">
        <v>70</v>
      </c>
      <c r="L28">
        <v>-2</v>
      </c>
      <c r="M28">
        <v>2</v>
      </c>
      <c r="N28">
        <v>2</v>
      </c>
      <c r="O28">
        <v>2</v>
      </c>
      <c r="P28">
        <v>2</v>
      </c>
      <c r="Q28">
        <v>3</v>
      </c>
      <c r="R28">
        <v>3</v>
      </c>
      <c r="S28">
        <v>3</v>
      </c>
      <c r="T28">
        <v>3</v>
      </c>
      <c r="U28" t="s">
        <v>29</v>
      </c>
      <c r="V28">
        <v>1</v>
      </c>
      <c r="W28" t="s">
        <v>24</v>
      </c>
      <c r="X28" t="s">
        <v>25</v>
      </c>
      <c r="Y28">
        <v>0.65365000000000006</v>
      </c>
    </row>
    <row r="29" spans="1:25" x14ac:dyDescent="0.35">
      <c r="A29" s="2">
        <v>44736.382638888892</v>
      </c>
      <c r="B29" s="3">
        <v>27.09</v>
      </c>
      <c r="C29" s="3">
        <f>(30.17+29.61)/2</f>
        <v>29.89</v>
      </c>
      <c r="D29" s="3">
        <f>(1.13+0.43)/2</f>
        <v>0.77999999999999992</v>
      </c>
      <c r="E29" s="3">
        <f>(44.5+46.68)/2</f>
        <v>45.59</v>
      </c>
      <c r="F29" s="3">
        <v>0.13</v>
      </c>
      <c r="G29" s="3">
        <f>(29.56+29.63)/2</f>
        <v>29.594999999999999</v>
      </c>
      <c r="H29">
        <v>0</v>
      </c>
      <c r="I29">
        <v>64</v>
      </c>
      <c r="J29">
        <v>170</v>
      </c>
      <c r="K29">
        <v>60</v>
      </c>
      <c r="L29">
        <v>-2</v>
      </c>
      <c r="M29">
        <v>3</v>
      </c>
      <c r="N29">
        <v>3</v>
      </c>
      <c r="O29">
        <v>2</v>
      </c>
      <c r="P29">
        <v>2</v>
      </c>
      <c r="Q29">
        <v>3</v>
      </c>
      <c r="R29">
        <v>3</v>
      </c>
      <c r="S29">
        <v>3</v>
      </c>
      <c r="T29">
        <v>3</v>
      </c>
      <c r="U29" t="s">
        <v>36</v>
      </c>
      <c r="V29">
        <v>1</v>
      </c>
      <c r="W29" t="s">
        <v>19</v>
      </c>
      <c r="X29" t="s">
        <v>26</v>
      </c>
      <c r="Y29">
        <v>0.44490000000000002</v>
      </c>
    </row>
    <row r="30" spans="1:25" x14ac:dyDescent="0.35">
      <c r="A30" s="2">
        <v>44736.383333333331</v>
      </c>
      <c r="B30" s="3">
        <v>27.09</v>
      </c>
      <c r="C30" s="3">
        <f>(30.16+29.61)/2</f>
        <v>29.884999999999998</v>
      </c>
      <c r="D30" s="3">
        <f>(1.04+0.43)/2</f>
        <v>0.73499999999999999</v>
      </c>
      <c r="E30" s="3">
        <f>(46.48+42.88)/2</f>
        <v>44.68</v>
      </c>
      <c r="F30" s="3">
        <v>0.1</v>
      </c>
      <c r="G30" s="3">
        <f>(29.56+29.87)/2</f>
        <v>29.715</v>
      </c>
      <c r="H30">
        <v>1</v>
      </c>
      <c r="I30">
        <v>33</v>
      </c>
      <c r="J30">
        <v>176</v>
      </c>
      <c r="K30">
        <v>79</v>
      </c>
      <c r="L30">
        <v>1</v>
      </c>
      <c r="M30">
        <v>2</v>
      </c>
      <c r="N30">
        <v>1</v>
      </c>
      <c r="O30">
        <v>1</v>
      </c>
      <c r="P30">
        <v>2</v>
      </c>
      <c r="Q30">
        <v>1</v>
      </c>
      <c r="R30">
        <v>1</v>
      </c>
      <c r="S30">
        <v>1</v>
      </c>
      <c r="T30">
        <v>1</v>
      </c>
      <c r="U30" t="s">
        <v>29</v>
      </c>
      <c r="V30">
        <v>1</v>
      </c>
      <c r="W30" t="s">
        <v>19</v>
      </c>
      <c r="X30" t="s">
        <v>27</v>
      </c>
      <c r="Y30">
        <v>0.32800000000000001</v>
      </c>
    </row>
    <row r="31" spans="1:25" x14ac:dyDescent="0.35">
      <c r="A31" s="2">
        <v>44736.383333333331</v>
      </c>
      <c r="B31" s="3">
        <v>27.09</v>
      </c>
      <c r="C31" s="3">
        <f>(30.16+29.61)/2</f>
        <v>29.884999999999998</v>
      </c>
      <c r="D31" s="3">
        <f>(1.04+0.43)/2</f>
        <v>0.73499999999999999</v>
      </c>
      <c r="E31" s="3">
        <f>(46.48+42.88)/2</f>
        <v>44.68</v>
      </c>
      <c r="F31" s="3">
        <v>0.1</v>
      </c>
      <c r="G31" s="3">
        <f>(29.56+29.87)/2</f>
        <v>29.715</v>
      </c>
      <c r="H31">
        <v>0</v>
      </c>
      <c r="I31">
        <v>47</v>
      </c>
      <c r="J31">
        <v>157</v>
      </c>
      <c r="K31">
        <v>60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 t="s">
        <v>36</v>
      </c>
      <c r="V31">
        <v>1</v>
      </c>
      <c r="W31" t="s">
        <v>19</v>
      </c>
      <c r="X31" t="s">
        <v>26</v>
      </c>
      <c r="Y31">
        <v>0.67035000000000011</v>
      </c>
    </row>
    <row r="32" spans="1:25" x14ac:dyDescent="0.35">
      <c r="A32" s="2">
        <v>44736.384027777778</v>
      </c>
      <c r="B32" s="3">
        <v>27.187999999999999</v>
      </c>
      <c r="C32" s="3">
        <f>(29.7+30.16)/2</f>
        <v>29.93</v>
      </c>
      <c r="D32" s="3">
        <f>1.44/2</f>
        <v>0.72</v>
      </c>
      <c r="E32" s="3">
        <f>(44+46.82)/2</f>
        <v>45.41</v>
      </c>
      <c r="F32" s="3">
        <v>0.09</v>
      </c>
      <c r="G32" s="3">
        <f>(29.63+29.94)/2</f>
        <v>29.785</v>
      </c>
      <c r="H32">
        <v>0</v>
      </c>
      <c r="I32">
        <v>52</v>
      </c>
      <c r="J32">
        <v>156</v>
      </c>
      <c r="K32">
        <v>60</v>
      </c>
      <c r="L32">
        <v>2</v>
      </c>
      <c r="M32">
        <v>2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 t="s">
        <v>37</v>
      </c>
      <c r="V32">
        <v>1</v>
      </c>
      <c r="W32" t="s">
        <v>19</v>
      </c>
      <c r="X32" t="s">
        <v>26</v>
      </c>
      <c r="Y32">
        <v>0.43654999999999999</v>
      </c>
    </row>
    <row r="33" spans="1:25" x14ac:dyDescent="0.35">
      <c r="A33" s="2">
        <v>44736.384097222217</v>
      </c>
      <c r="B33" s="3">
        <v>27.187999999999999</v>
      </c>
      <c r="C33" s="3">
        <v>28.8</v>
      </c>
      <c r="D33" s="3">
        <v>1.3660000000000001</v>
      </c>
      <c r="E33" s="3">
        <v>47.93</v>
      </c>
      <c r="F33" s="3">
        <v>0.01</v>
      </c>
      <c r="G33" s="3">
        <v>28.38</v>
      </c>
      <c r="H33">
        <v>1</v>
      </c>
      <c r="I33">
        <v>30</v>
      </c>
      <c r="J33">
        <v>179</v>
      </c>
      <c r="K33">
        <v>58</v>
      </c>
      <c r="L33">
        <v>0</v>
      </c>
      <c r="M33">
        <v>2</v>
      </c>
      <c r="N33">
        <v>2</v>
      </c>
      <c r="O33">
        <v>3</v>
      </c>
      <c r="P33">
        <v>1</v>
      </c>
      <c r="Q33">
        <v>1</v>
      </c>
      <c r="R33">
        <v>0</v>
      </c>
      <c r="S33">
        <v>1</v>
      </c>
      <c r="T33">
        <v>1</v>
      </c>
      <c r="U33" t="s">
        <v>37</v>
      </c>
      <c r="V33">
        <v>1</v>
      </c>
      <c r="W33" t="s">
        <v>23</v>
      </c>
      <c r="X33" t="s">
        <v>27</v>
      </c>
      <c r="Y33">
        <v>0.46160000000000001</v>
      </c>
    </row>
    <row r="34" spans="1:25" x14ac:dyDescent="0.35">
      <c r="A34" s="2">
        <v>44736.386203703703</v>
      </c>
      <c r="B34" s="3">
        <v>27.405999999999999</v>
      </c>
      <c r="C34" s="3">
        <v>29.597999999999999</v>
      </c>
      <c r="D34" s="3">
        <v>0.56000000000000005</v>
      </c>
      <c r="E34" s="3">
        <v>46.85</v>
      </c>
      <c r="F34" s="3">
        <v>0</v>
      </c>
      <c r="G34" s="3">
        <v>29.06</v>
      </c>
      <c r="H34">
        <v>1</v>
      </c>
      <c r="I34">
        <v>36</v>
      </c>
      <c r="J34">
        <v>175</v>
      </c>
      <c r="K34">
        <v>75</v>
      </c>
      <c r="L34">
        <v>1</v>
      </c>
      <c r="M34">
        <v>2</v>
      </c>
      <c r="N34">
        <v>2</v>
      </c>
      <c r="O34">
        <v>2</v>
      </c>
      <c r="P34">
        <v>0</v>
      </c>
      <c r="Q34">
        <v>0</v>
      </c>
      <c r="R34">
        <v>0</v>
      </c>
      <c r="S34">
        <v>1</v>
      </c>
      <c r="T34">
        <v>0</v>
      </c>
      <c r="U34" t="s">
        <v>30</v>
      </c>
      <c r="V34">
        <v>1</v>
      </c>
      <c r="W34" t="s">
        <v>20</v>
      </c>
      <c r="X34" t="s">
        <v>25</v>
      </c>
      <c r="Y34">
        <v>0.31130000000000002</v>
      </c>
    </row>
    <row r="35" spans="1:25" x14ac:dyDescent="0.35">
      <c r="A35" s="2">
        <v>44736.386469907397</v>
      </c>
      <c r="B35" s="3">
        <v>27.405999999999999</v>
      </c>
      <c r="C35" s="3">
        <v>28.84</v>
      </c>
      <c r="D35" s="3">
        <v>1.32</v>
      </c>
      <c r="E35" s="3">
        <v>46.51</v>
      </c>
      <c r="F35" s="3">
        <v>0.01</v>
      </c>
      <c r="G35" s="3">
        <v>28.5</v>
      </c>
      <c r="H35">
        <v>0</v>
      </c>
      <c r="I35">
        <v>31</v>
      </c>
      <c r="J35">
        <v>169</v>
      </c>
      <c r="K35">
        <v>53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 t="s">
        <v>30</v>
      </c>
      <c r="V35">
        <v>1</v>
      </c>
      <c r="W35" t="s">
        <v>23</v>
      </c>
      <c r="X35" t="s">
        <v>28</v>
      </c>
      <c r="Y35">
        <v>0.26119999999999999</v>
      </c>
    </row>
    <row r="36" spans="1:25" x14ac:dyDescent="0.35">
      <c r="A36" s="2">
        <v>44736.388888888891</v>
      </c>
      <c r="B36" s="3">
        <v>27.594000000000001</v>
      </c>
      <c r="C36" s="3">
        <f>(29.91+29.77)/2</f>
        <v>29.84</v>
      </c>
      <c r="D36" s="3">
        <f>(0.78+0.47)/2</f>
        <v>0.625</v>
      </c>
      <c r="E36" s="3">
        <f>(46.29+43.53)/2</f>
        <v>44.91</v>
      </c>
      <c r="F36" s="3">
        <v>0.09</v>
      </c>
      <c r="G36" s="3">
        <v>29.72</v>
      </c>
      <c r="H36">
        <v>0</v>
      </c>
      <c r="I36">
        <v>15</v>
      </c>
      <c r="J36">
        <v>162</v>
      </c>
      <c r="K36">
        <v>50</v>
      </c>
      <c r="L36">
        <v>0</v>
      </c>
      <c r="M36">
        <v>1</v>
      </c>
      <c r="N36">
        <v>2</v>
      </c>
      <c r="O36">
        <v>2</v>
      </c>
      <c r="P36">
        <v>2</v>
      </c>
      <c r="Q36">
        <v>1</v>
      </c>
      <c r="R36">
        <v>1</v>
      </c>
      <c r="S36">
        <v>1</v>
      </c>
      <c r="T36">
        <v>1</v>
      </c>
      <c r="U36" t="s">
        <v>29</v>
      </c>
      <c r="V36">
        <v>1</v>
      </c>
      <c r="W36" t="s">
        <v>19</v>
      </c>
      <c r="X36" t="s">
        <v>27</v>
      </c>
      <c r="Y36">
        <v>0.31130000000000002</v>
      </c>
    </row>
    <row r="37" spans="1:25" x14ac:dyDescent="0.35">
      <c r="A37" s="2">
        <v>44736.388888888891</v>
      </c>
      <c r="B37" s="3">
        <v>27.594000000000001</v>
      </c>
      <c r="C37" s="3">
        <f>(29.91+29.77)/2</f>
        <v>29.84</v>
      </c>
      <c r="D37" s="3">
        <f>(0.78+0.47)/2</f>
        <v>0.625</v>
      </c>
      <c r="E37" s="3">
        <f>(46.29+43.53)/2</f>
        <v>44.91</v>
      </c>
      <c r="F37" s="3">
        <v>0.09</v>
      </c>
      <c r="G37" s="3">
        <v>29.72</v>
      </c>
      <c r="H37">
        <v>0</v>
      </c>
      <c r="I37">
        <v>52</v>
      </c>
      <c r="J37">
        <v>162</v>
      </c>
      <c r="K37">
        <v>67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29</v>
      </c>
      <c r="V37" t="s">
        <v>33</v>
      </c>
      <c r="W37" t="s">
        <v>19</v>
      </c>
      <c r="X37" t="s">
        <v>27</v>
      </c>
      <c r="Y37">
        <v>0.53674999999999995</v>
      </c>
    </row>
    <row r="38" spans="1:25" x14ac:dyDescent="0.35">
      <c r="A38" s="2">
        <v>44736.390277777777</v>
      </c>
      <c r="B38" s="3">
        <v>27.594000000000001</v>
      </c>
      <c r="C38" s="3">
        <v>28.905000000000001</v>
      </c>
      <c r="D38" s="3">
        <v>1.19</v>
      </c>
      <c r="E38" s="3">
        <v>45.96</v>
      </c>
      <c r="F38" s="3">
        <v>0.02</v>
      </c>
      <c r="G38" s="3">
        <v>28.69</v>
      </c>
      <c r="H38">
        <v>0</v>
      </c>
      <c r="I38">
        <v>44</v>
      </c>
      <c r="J38">
        <v>183</v>
      </c>
      <c r="K38">
        <v>80</v>
      </c>
      <c r="L38">
        <v>1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 t="s">
        <v>30</v>
      </c>
      <c r="V38">
        <v>1</v>
      </c>
      <c r="W38" t="s">
        <v>23</v>
      </c>
      <c r="X38" t="s">
        <v>26</v>
      </c>
      <c r="Y38">
        <v>0.45324999999999999</v>
      </c>
    </row>
    <row r="39" spans="1:25" x14ac:dyDescent="0.35">
      <c r="A39" s="2">
        <v>44736.395833333343</v>
      </c>
      <c r="B39" s="3">
        <v>27.905999999999999</v>
      </c>
      <c r="C39" s="3">
        <v>29.2</v>
      </c>
      <c r="D39" s="3">
        <v>1.18</v>
      </c>
      <c r="E39" s="3">
        <v>47.58</v>
      </c>
      <c r="F39" s="3">
        <v>0.02</v>
      </c>
      <c r="G39" s="3">
        <v>28.94</v>
      </c>
      <c r="H39">
        <v>0</v>
      </c>
      <c r="I39">
        <v>34</v>
      </c>
      <c r="J39">
        <v>160</v>
      </c>
      <c r="K39">
        <v>63</v>
      </c>
      <c r="L39">
        <v>-1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 t="s">
        <v>31</v>
      </c>
      <c r="V39">
        <v>1</v>
      </c>
      <c r="W39" t="s">
        <v>24</v>
      </c>
      <c r="X39" t="s">
        <v>28</v>
      </c>
      <c r="Y39">
        <v>0.55345</v>
      </c>
    </row>
    <row r="40" spans="1:25" x14ac:dyDescent="0.35">
      <c r="A40" s="2">
        <v>44736.402361111112</v>
      </c>
      <c r="B40" s="3">
        <v>28</v>
      </c>
      <c r="C40" s="3">
        <v>29.454999999999998</v>
      </c>
      <c r="D40" s="3">
        <v>0.83</v>
      </c>
      <c r="E40" s="3">
        <v>42.86</v>
      </c>
      <c r="F40" s="3">
        <v>0.02</v>
      </c>
      <c r="G40" s="3">
        <v>29.25</v>
      </c>
      <c r="H40">
        <v>1</v>
      </c>
      <c r="I40">
        <v>39</v>
      </c>
      <c r="J40">
        <v>195</v>
      </c>
      <c r="K40">
        <v>78</v>
      </c>
      <c r="L40">
        <v>1</v>
      </c>
      <c r="M40">
        <v>-1</v>
      </c>
      <c r="N40">
        <v>-1</v>
      </c>
      <c r="O40">
        <v>-1</v>
      </c>
      <c r="P40">
        <v>-1</v>
      </c>
      <c r="Q40">
        <v>0</v>
      </c>
      <c r="R40">
        <v>0</v>
      </c>
      <c r="S40">
        <v>0</v>
      </c>
      <c r="T40">
        <v>0</v>
      </c>
      <c r="U40" t="s">
        <v>29</v>
      </c>
      <c r="V40">
        <v>1</v>
      </c>
      <c r="W40" t="s">
        <v>24</v>
      </c>
      <c r="X40" t="s">
        <v>25</v>
      </c>
      <c r="Y40">
        <v>0.53674999999999995</v>
      </c>
    </row>
    <row r="41" spans="1:25" x14ac:dyDescent="0.35">
      <c r="A41" s="2">
        <v>44736.402777777781</v>
      </c>
      <c r="B41" s="3">
        <v>28</v>
      </c>
      <c r="C41" s="3">
        <f>(30.45+30.246)/2</f>
        <v>30.347999999999999</v>
      </c>
      <c r="D41" s="3">
        <f>(0.43+1.03)/2</f>
        <v>0.73</v>
      </c>
      <c r="E41" s="3">
        <f>(43.26+38.67)/2</f>
        <v>40.965000000000003</v>
      </c>
      <c r="F41" s="3">
        <v>6.5000000000000002E-2</v>
      </c>
      <c r="G41" s="3">
        <f>(30.19+30.62)/2</f>
        <v>30.405000000000001</v>
      </c>
      <c r="H41">
        <v>0</v>
      </c>
      <c r="I41">
        <v>36</v>
      </c>
      <c r="J41">
        <v>165</v>
      </c>
      <c r="K41">
        <v>0</v>
      </c>
      <c r="L41">
        <v>1</v>
      </c>
      <c r="M41">
        <v>2</v>
      </c>
      <c r="N41">
        <v>2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 t="s">
        <v>37</v>
      </c>
      <c r="V41">
        <v>1</v>
      </c>
      <c r="W41" t="s">
        <v>19</v>
      </c>
      <c r="X41" t="s">
        <v>26</v>
      </c>
      <c r="Y41">
        <v>0.45324999999999999</v>
      </c>
    </row>
    <row r="42" spans="1:25" x14ac:dyDescent="0.35">
      <c r="A42" s="2">
        <v>44736.40347222222</v>
      </c>
      <c r="B42" s="3">
        <v>27.91</v>
      </c>
      <c r="C42" s="3">
        <v>29.9</v>
      </c>
      <c r="D42" s="3">
        <v>0.55000000000000004</v>
      </c>
      <c r="E42" s="3">
        <v>43.31</v>
      </c>
      <c r="F42" s="3">
        <v>0.05</v>
      </c>
      <c r="G42" s="3">
        <v>29.31</v>
      </c>
      <c r="H42">
        <v>1</v>
      </c>
      <c r="I42">
        <v>27</v>
      </c>
      <c r="J42">
        <v>183</v>
      </c>
      <c r="K42">
        <v>91</v>
      </c>
      <c r="L42">
        <v>-1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 t="s">
        <v>33</v>
      </c>
      <c r="V42">
        <v>1</v>
      </c>
      <c r="W42" t="s">
        <v>20</v>
      </c>
      <c r="X42" t="s">
        <v>25</v>
      </c>
      <c r="Y42">
        <v>0.46160000000000001</v>
      </c>
    </row>
    <row r="43" spans="1:25" x14ac:dyDescent="0.35">
      <c r="A43" s="2">
        <v>44736.422222222223</v>
      </c>
      <c r="B43" s="3">
        <v>29.405999999999999</v>
      </c>
      <c r="C43" s="3">
        <v>30.38</v>
      </c>
      <c r="D43" s="3">
        <f>(1.04+0.87)/2</f>
        <v>0.95500000000000007</v>
      </c>
      <c r="E43" s="3">
        <f>(44.66+44.79)/2</f>
        <v>44.724999999999994</v>
      </c>
      <c r="F43" s="3">
        <v>0.13</v>
      </c>
      <c r="G43" s="3">
        <f>(30.94+30.5)/2</f>
        <v>30.72</v>
      </c>
      <c r="H43">
        <v>1</v>
      </c>
      <c r="I43">
        <v>33</v>
      </c>
      <c r="J43">
        <v>187</v>
      </c>
      <c r="K43">
        <v>70</v>
      </c>
      <c r="L43">
        <v>1</v>
      </c>
      <c r="M43">
        <v>-2</v>
      </c>
      <c r="N43">
        <v>-2</v>
      </c>
      <c r="O43">
        <v>-2</v>
      </c>
      <c r="P43">
        <v>-2</v>
      </c>
      <c r="Q43">
        <v>0</v>
      </c>
      <c r="R43">
        <v>1</v>
      </c>
      <c r="S43">
        <v>0</v>
      </c>
      <c r="T43">
        <v>1</v>
      </c>
      <c r="U43" t="s">
        <v>31</v>
      </c>
      <c r="V43">
        <v>1</v>
      </c>
      <c r="W43" t="s">
        <v>22</v>
      </c>
      <c r="X43" t="s">
        <v>27</v>
      </c>
      <c r="Y43">
        <v>0.32800000000000001</v>
      </c>
    </row>
    <row r="44" spans="1:25" x14ac:dyDescent="0.35">
      <c r="A44" s="2">
        <v>44736.423472222217</v>
      </c>
      <c r="B44" s="3">
        <v>29.312999999999999</v>
      </c>
      <c r="C44" s="3">
        <v>29.786000000000001</v>
      </c>
      <c r="D44" s="3">
        <v>0.73</v>
      </c>
      <c r="E44" s="3">
        <v>44.8</v>
      </c>
      <c r="F44" s="3">
        <v>0.05</v>
      </c>
      <c r="G44" s="3">
        <v>29.5</v>
      </c>
      <c r="H44">
        <v>1</v>
      </c>
      <c r="I44">
        <v>33</v>
      </c>
      <c r="J44">
        <v>197</v>
      </c>
      <c r="K44">
        <v>160</v>
      </c>
      <c r="L44">
        <v>1</v>
      </c>
      <c r="M44">
        <v>2</v>
      </c>
      <c r="N44">
        <v>3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 t="s">
        <v>30</v>
      </c>
      <c r="V44">
        <v>1</v>
      </c>
      <c r="W44" t="s">
        <v>20</v>
      </c>
      <c r="X44" t="s">
        <v>26</v>
      </c>
      <c r="Y44">
        <v>0.32800000000000001</v>
      </c>
    </row>
    <row r="45" spans="1:25" x14ac:dyDescent="0.35">
      <c r="A45" s="2">
        <v>44736.423611111109</v>
      </c>
      <c r="B45" s="3">
        <v>29.312999999999999</v>
      </c>
      <c r="C45" s="3">
        <f>(28.55+30.55)/2</f>
        <v>29.55</v>
      </c>
      <c r="D45" s="3">
        <f>(0.91+1.47)/2</f>
        <v>1.19</v>
      </c>
      <c r="E45" s="3">
        <f>(41.79+45.74)/2</f>
        <v>43.765000000000001</v>
      </c>
      <c r="F45" s="3">
        <v>0.11</v>
      </c>
      <c r="G45" s="3">
        <f>(30.62+29.31)/2</f>
        <v>29.965</v>
      </c>
      <c r="H45">
        <v>0</v>
      </c>
      <c r="I45">
        <v>51</v>
      </c>
      <c r="J45">
        <v>174</v>
      </c>
      <c r="K45">
        <v>71</v>
      </c>
      <c r="L45">
        <v>0</v>
      </c>
      <c r="M45">
        <v>2</v>
      </c>
      <c r="N45">
        <v>2</v>
      </c>
      <c r="O45">
        <v>2</v>
      </c>
      <c r="P45">
        <v>2</v>
      </c>
      <c r="Q45">
        <v>1</v>
      </c>
      <c r="R45">
        <v>1</v>
      </c>
      <c r="S45">
        <v>0</v>
      </c>
      <c r="T45">
        <v>0</v>
      </c>
      <c r="U45" t="s">
        <v>32</v>
      </c>
      <c r="V45">
        <v>1</v>
      </c>
      <c r="W45" t="s">
        <v>22</v>
      </c>
      <c r="X45" t="s">
        <v>26</v>
      </c>
      <c r="Y45">
        <v>0.42820000000000003</v>
      </c>
    </row>
    <row r="46" spans="1:25" x14ac:dyDescent="0.35">
      <c r="A46" s="2">
        <v>44736.424375000002</v>
      </c>
      <c r="B46" s="3">
        <v>29.41</v>
      </c>
      <c r="C46" s="3">
        <v>29.885999999999999</v>
      </c>
      <c r="D46" s="3">
        <v>0.64</v>
      </c>
      <c r="E46" s="3">
        <v>45.95</v>
      </c>
      <c r="F46" s="3">
        <v>0</v>
      </c>
      <c r="G46" s="3">
        <v>29.56</v>
      </c>
      <c r="H46">
        <v>0</v>
      </c>
      <c r="I46">
        <v>30</v>
      </c>
      <c r="J46">
        <v>157</v>
      </c>
      <c r="K46">
        <v>58</v>
      </c>
      <c r="L46">
        <v>1</v>
      </c>
      <c r="M46">
        <v>2</v>
      </c>
      <c r="N46">
        <v>1</v>
      </c>
      <c r="O46">
        <v>0</v>
      </c>
      <c r="P46">
        <v>-1</v>
      </c>
      <c r="Q46">
        <v>1</v>
      </c>
      <c r="R46">
        <v>1</v>
      </c>
      <c r="S46">
        <v>0</v>
      </c>
      <c r="T46">
        <v>0</v>
      </c>
      <c r="U46" t="s">
        <v>30</v>
      </c>
      <c r="V46">
        <v>1</v>
      </c>
      <c r="W46" t="s">
        <v>20</v>
      </c>
      <c r="X46" t="s">
        <v>25</v>
      </c>
      <c r="Y46">
        <v>0.43654999999999999</v>
      </c>
    </row>
    <row r="47" spans="1:25" x14ac:dyDescent="0.35">
      <c r="A47" s="2">
        <v>44736.429166666669</v>
      </c>
      <c r="B47" s="3">
        <v>29.687999999999999</v>
      </c>
      <c r="C47" s="3">
        <f>(30.33+30.25)/2</f>
        <v>30.29</v>
      </c>
      <c r="D47" s="3">
        <f>(1.39+0.83)/2</f>
        <v>1.1099999999999999</v>
      </c>
      <c r="E47" s="3">
        <f>(42.11+45.27)/2</f>
        <v>43.69</v>
      </c>
      <c r="F47" s="3">
        <v>0.16</v>
      </c>
      <c r="G47" s="3">
        <v>31.25</v>
      </c>
      <c r="H47">
        <v>0</v>
      </c>
      <c r="I47">
        <v>39</v>
      </c>
      <c r="J47">
        <v>176</v>
      </c>
      <c r="K47">
        <v>89</v>
      </c>
      <c r="L47">
        <v>1</v>
      </c>
      <c r="M47">
        <v>2</v>
      </c>
      <c r="N47">
        <v>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32</v>
      </c>
      <c r="V47">
        <v>1</v>
      </c>
      <c r="W47" t="s">
        <v>22</v>
      </c>
      <c r="X47" t="s">
        <v>26</v>
      </c>
      <c r="Y47">
        <v>0.57014999999999993</v>
      </c>
    </row>
    <row r="48" spans="1:25" x14ac:dyDescent="0.35">
      <c r="A48" s="2">
        <v>44736.429166666669</v>
      </c>
      <c r="B48" s="3">
        <v>29.687999999999999</v>
      </c>
      <c r="C48" s="3">
        <f>(30.33+30.25)/2</f>
        <v>30.29</v>
      </c>
      <c r="D48" s="3">
        <f>(1.39+0.83)/2</f>
        <v>1.1099999999999999</v>
      </c>
      <c r="E48" s="3">
        <f>(42.11+45.27)/2</f>
        <v>43.69</v>
      </c>
      <c r="F48" s="3">
        <v>0.16</v>
      </c>
      <c r="G48" s="3">
        <v>31.25</v>
      </c>
      <c r="H48">
        <v>0</v>
      </c>
      <c r="I48">
        <v>20</v>
      </c>
      <c r="J48">
        <v>170</v>
      </c>
      <c r="K48">
        <v>88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30</v>
      </c>
      <c r="V48">
        <v>1</v>
      </c>
      <c r="W48" t="s">
        <v>22</v>
      </c>
      <c r="X48" t="s">
        <v>25</v>
      </c>
      <c r="Y48">
        <v>0.53674999999999995</v>
      </c>
    </row>
    <row r="49" spans="1:25" x14ac:dyDescent="0.35">
      <c r="A49" s="2">
        <v>44736.429861111108</v>
      </c>
      <c r="B49" s="3">
        <v>29.687999999999999</v>
      </c>
      <c r="C49" s="3">
        <f>(29.25+30.52)/2</f>
        <v>29.884999999999998</v>
      </c>
      <c r="D49" s="3">
        <f>(0.83+0.96)/2</f>
        <v>0.89500000000000002</v>
      </c>
      <c r="E49" s="3">
        <f>(42.07+44.91)/2</f>
        <v>43.489999999999995</v>
      </c>
      <c r="F49" s="3">
        <v>0.19</v>
      </c>
      <c r="G49" s="3">
        <f>(30.88+29.63)/2</f>
        <v>30.254999999999999</v>
      </c>
      <c r="H49">
        <v>1</v>
      </c>
      <c r="I49">
        <v>57</v>
      </c>
      <c r="J49">
        <v>173</v>
      </c>
      <c r="K49">
        <v>85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R49" t="s">
        <v>33</v>
      </c>
      <c r="S49" t="s">
        <v>33</v>
      </c>
      <c r="T49" t="s">
        <v>33</v>
      </c>
      <c r="U49" t="s">
        <v>30</v>
      </c>
      <c r="V49">
        <v>1</v>
      </c>
      <c r="W49" t="s">
        <v>19</v>
      </c>
      <c r="X49" t="s">
        <v>26</v>
      </c>
      <c r="Y49">
        <v>0.32800000000000001</v>
      </c>
    </row>
    <row r="50" spans="1:25" x14ac:dyDescent="0.35">
      <c r="A50" s="2">
        <v>44736.430763888893</v>
      </c>
      <c r="B50" s="3">
        <v>29.5</v>
      </c>
      <c r="C50" s="3">
        <v>28.875</v>
      </c>
      <c r="D50" s="3">
        <v>0.88</v>
      </c>
      <c r="E50" s="3">
        <v>43.18</v>
      </c>
      <c r="F50" s="3">
        <v>0.03</v>
      </c>
      <c r="G50" s="3">
        <v>29.56</v>
      </c>
      <c r="H50">
        <v>0</v>
      </c>
      <c r="I50">
        <v>30</v>
      </c>
      <c r="J50">
        <v>68</v>
      </c>
      <c r="K50">
        <v>54</v>
      </c>
      <c r="L50">
        <v>2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 t="s">
        <v>30</v>
      </c>
      <c r="V50">
        <v>1</v>
      </c>
      <c r="W50" t="s">
        <v>23</v>
      </c>
      <c r="X50" t="s">
        <v>27</v>
      </c>
      <c r="Y50">
        <v>0.44490000000000002</v>
      </c>
    </row>
    <row r="51" spans="1:25" x14ac:dyDescent="0.35">
      <c r="A51" s="2">
        <v>44736.434328703697</v>
      </c>
      <c r="B51" s="3">
        <v>29.91</v>
      </c>
      <c r="C51" s="3">
        <v>29.16</v>
      </c>
      <c r="D51" s="3">
        <v>1</v>
      </c>
      <c r="E51" s="3">
        <v>42.84</v>
      </c>
      <c r="F51" s="3">
        <v>0.05</v>
      </c>
      <c r="G51" s="3">
        <v>30</v>
      </c>
      <c r="H51">
        <v>0</v>
      </c>
      <c r="I51">
        <v>61</v>
      </c>
      <c r="J51">
        <v>165</v>
      </c>
      <c r="K51">
        <v>62</v>
      </c>
      <c r="L51">
        <v>0</v>
      </c>
      <c r="M51">
        <v>2</v>
      </c>
      <c r="N51">
        <v>2</v>
      </c>
      <c r="O51">
        <v>2</v>
      </c>
      <c r="P51">
        <v>3</v>
      </c>
      <c r="Q51">
        <v>1</v>
      </c>
      <c r="R51">
        <v>1</v>
      </c>
      <c r="S51">
        <v>1</v>
      </c>
      <c r="T51">
        <v>1</v>
      </c>
      <c r="U51" t="s">
        <v>30</v>
      </c>
      <c r="V51">
        <v>1</v>
      </c>
      <c r="W51" t="s">
        <v>21</v>
      </c>
      <c r="X51" t="s">
        <v>26</v>
      </c>
      <c r="Y51">
        <v>0.44490000000000002</v>
      </c>
    </row>
    <row r="52" spans="1:25" x14ac:dyDescent="0.35">
      <c r="A52" s="2">
        <v>44736.435416666667</v>
      </c>
      <c r="B52" s="3">
        <v>29.91</v>
      </c>
      <c r="C52" s="3">
        <v>29.948</v>
      </c>
      <c r="D52" s="3">
        <v>1.24</v>
      </c>
      <c r="E52" s="3">
        <v>43.52</v>
      </c>
      <c r="F52" s="3">
        <v>0.05</v>
      </c>
      <c r="G52" s="3">
        <v>31</v>
      </c>
      <c r="H52">
        <v>0</v>
      </c>
      <c r="I52">
        <v>30</v>
      </c>
      <c r="J52">
        <v>54</v>
      </c>
      <c r="K52">
        <v>49</v>
      </c>
      <c r="L52">
        <v>0</v>
      </c>
      <c r="M52">
        <v>1</v>
      </c>
      <c r="N52">
        <v>2</v>
      </c>
      <c r="O52">
        <v>2</v>
      </c>
      <c r="P52">
        <v>2</v>
      </c>
      <c r="Q52">
        <v>1</v>
      </c>
      <c r="R52">
        <v>1</v>
      </c>
      <c r="S52">
        <v>1</v>
      </c>
      <c r="T52">
        <v>1</v>
      </c>
      <c r="U52" t="s">
        <v>38</v>
      </c>
      <c r="V52">
        <v>1</v>
      </c>
      <c r="W52" t="s">
        <v>20</v>
      </c>
      <c r="X52" t="s">
        <v>27</v>
      </c>
      <c r="Y52">
        <v>0.56179999999999997</v>
      </c>
    </row>
    <row r="53" spans="1:25" x14ac:dyDescent="0.35">
      <c r="A53" s="2">
        <v>44736.435833333337</v>
      </c>
      <c r="B53" s="3">
        <v>29.91</v>
      </c>
      <c r="C53" s="3">
        <v>29.922000000000001</v>
      </c>
      <c r="D53" s="3">
        <v>1.1599999999999999</v>
      </c>
      <c r="E53" s="3">
        <v>43.55</v>
      </c>
      <c r="F53" s="3">
        <v>0.01</v>
      </c>
      <c r="G53" s="3">
        <v>31.06</v>
      </c>
      <c r="H53">
        <v>1</v>
      </c>
      <c r="I53">
        <v>38</v>
      </c>
      <c r="J53">
        <v>175</v>
      </c>
      <c r="K53">
        <v>95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 t="s">
        <v>30</v>
      </c>
      <c r="V53">
        <v>1</v>
      </c>
      <c r="W53" t="s">
        <v>20</v>
      </c>
      <c r="X53" t="s">
        <v>27</v>
      </c>
      <c r="Y53">
        <v>0.32800000000000001</v>
      </c>
    </row>
    <row r="54" spans="1:25" x14ac:dyDescent="0.35">
      <c r="A54" s="2">
        <v>44736.436111111107</v>
      </c>
      <c r="B54" s="3">
        <v>29.91</v>
      </c>
      <c r="C54" s="3">
        <f>(31.21+31.07)/2</f>
        <v>31.14</v>
      </c>
      <c r="D54" s="3">
        <f>(1.17+0.92)/2</f>
        <v>1.0449999999999999</v>
      </c>
      <c r="E54" s="3">
        <f>(46.51+44.52)/2</f>
        <v>45.515000000000001</v>
      </c>
      <c r="F54" s="3">
        <v>0.12</v>
      </c>
      <c r="G54" s="3">
        <f>(31.44+31.94)/2</f>
        <v>31.69</v>
      </c>
      <c r="H54">
        <v>1</v>
      </c>
      <c r="I54">
        <v>45</v>
      </c>
      <c r="J54">
        <v>171</v>
      </c>
      <c r="K54">
        <v>68</v>
      </c>
      <c r="L54">
        <v>-1</v>
      </c>
      <c r="M54">
        <v>1</v>
      </c>
      <c r="N54">
        <v>0</v>
      </c>
      <c r="O54">
        <v>0</v>
      </c>
      <c r="P54">
        <v>0</v>
      </c>
      <c r="Q54">
        <v>1</v>
      </c>
      <c r="R54">
        <v>2</v>
      </c>
      <c r="S54">
        <v>2</v>
      </c>
      <c r="T54">
        <v>2</v>
      </c>
      <c r="U54" t="s">
        <v>39</v>
      </c>
      <c r="V54">
        <v>1</v>
      </c>
      <c r="W54" t="s">
        <v>22</v>
      </c>
      <c r="X54" t="s">
        <v>27</v>
      </c>
      <c r="Y54">
        <v>0.46160000000000001</v>
      </c>
    </row>
    <row r="55" spans="1:25" x14ac:dyDescent="0.35">
      <c r="A55" s="2">
        <v>44736.438888888893</v>
      </c>
      <c r="B55" s="3">
        <v>30.187999999999999</v>
      </c>
      <c r="C55" s="3">
        <v>29.53</v>
      </c>
      <c r="D55" s="3">
        <v>0.31</v>
      </c>
      <c r="E55" s="3">
        <v>45.91</v>
      </c>
      <c r="F55" s="3">
        <v>0.01</v>
      </c>
      <c r="G55" s="3">
        <v>29.69</v>
      </c>
      <c r="H55">
        <v>1</v>
      </c>
      <c r="I55">
        <v>70</v>
      </c>
      <c r="J55">
        <v>168</v>
      </c>
      <c r="K55">
        <v>78</v>
      </c>
      <c r="L55">
        <v>1</v>
      </c>
      <c r="M55">
        <v>1</v>
      </c>
      <c r="N55">
        <v>2</v>
      </c>
      <c r="O55">
        <v>0</v>
      </c>
      <c r="P55">
        <v>2</v>
      </c>
      <c r="Q55">
        <v>0</v>
      </c>
      <c r="R55">
        <v>1</v>
      </c>
      <c r="S55">
        <v>0</v>
      </c>
      <c r="T55">
        <v>1</v>
      </c>
      <c r="U55" t="s">
        <v>29</v>
      </c>
      <c r="V55">
        <v>1</v>
      </c>
      <c r="W55" t="s">
        <v>23</v>
      </c>
      <c r="X55" t="s">
        <v>26</v>
      </c>
      <c r="Y55">
        <v>0.55345</v>
      </c>
    </row>
    <row r="56" spans="1:25" x14ac:dyDescent="0.35">
      <c r="A56" s="2">
        <v>44736.439583333333</v>
      </c>
      <c r="B56" s="3">
        <v>30.187999999999999</v>
      </c>
      <c r="C56" s="3">
        <f>(31.53+30.17)/2</f>
        <v>30.85</v>
      </c>
      <c r="D56" s="3">
        <f>(0.74+0.26)/2</f>
        <v>0.5</v>
      </c>
      <c r="E56" s="3">
        <f>(42.94+45.12)/2</f>
        <v>44.03</v>
      </c>
      <c r="F56" s="3">
        <f>(0.25+0.14)/2</f>
        <v>0.19500000000000001</v>
      </c>
      <c r="G56" s="3">
        <f>(31.44+30.12)/2</f>
        <v>30.78</v>
      </c>
      <c r="H56">
        <v>0</v>
      </c>
      <c r="I56">
        <v>18</v>
      </c>
      <c r="J56">
        <v>150</v>
      </c>
      <c r="K56">
        <v>54</v>
      </c>
      <c r="L56">
        <v>1</v>
      </c>
      <c r="M56">
        <v>1</v>
      </c>
      <c r="N56">
        <v>1</v>
      </c>
      <c r="O56">
        <v>1</v>
      </c>
      <c r="P56">
        <v>2</v>
      </c>
      <c r="Q56">
        <v>1</v>
      </c>
      <c r="R56">
        <v>1</v>
      </c>
      <c r="S56">
        <v>0</v>
      </c>
      <c r="T56">
        <v>1</v>
      </c>
      <c r="U56" t="s">
        <v>33</v>
      </c>
      <c r="V56">
        <v>1</v>
      </c>
      <c r="W56" t="s">
        <v>19</v>
      </c>
      <c r="X56" t="s">
        <v>26</v>
      </c>
      <c r="Y56">
        <v>0.48665000000000003</v>
      </c>
    </row>
    <row r="57" spans="1:25" x14ac:dyDescent="0.35">
      <c r="A57" s="2">
        <v>44736.44027777778</v>
      </c>
      <c r="B57" s="3">
        <v>30.31</v>
      </c>
      <c r="C57" s="3">
        <v>29.67</v>
      </c>
      <c r="D57" s="3">
        <v>0.44</v>
      </c>
      <c r="E57" s="3">
        <v>44.75</v>
      </c>
      <c r="F57" s="3">
        <v>0.01</v>
      </c>
      <c r="G57" s="3">
        <v>29.81</v>
      </c>
      <c r="H57">
        <v>0</v>
      </c>
      <c r="I57">
        <v>41</v>
      </c>
      <c r="J57">
        <v>160</v>
      </c>
      <c r="K57">
        <v>58</v>
      </c>
      <c r="L57">
        <v>1</v>
      </c>
      <c r="M57">
        <v>2</v>
      </c>
      <c r="N57">
        <v>2</v>
      </c>
      <c r="O57">
        <v>2</v>
      </c>
      <c r="P57">
        <v>2</v>
      </c>
      <c r="Q57">
        <v>1</v>
      </c>
      <c r="R57">
        <v>1</v>
      </c>
      <c r="S57">
        <v>1</v>
      </c>
      <c r="T57">
        <v>1</v>
      </c>
      <c r="U57" t="s">
        <v>39</v>
      </c>
      <c r="V57">
        <v>1</v>
      </c>
      <c r="W57" t="s">
        <v>23</v>
      </c>
      <c r="X57" t="s">
        <v>26</v>
      </c>
      <c r="Y57">
        <v>0.44490000000000002</v>
      </c>
    </row>
    <row r="58" spans="1:25" x14ac:dyDescent="0.35">
      <c r="A58" s="2">
        <v>44736.443055555559</v>
      </c>
      <c r="B58" s="3">
        <v>30.31</v>
      </c>
      <c r="C58" s="3">
        <f>(29.71+31.04)/2</f>
        <v>30.375</v>
      </c>
      <c r="D58" s="3">
        <f>(0.87+0.92)/2</f>
        <v>0.89500000000000002</v>
      </c>
      <c r="E58" s="3">
        <f>(41.54+43.64)/2</f>
        <v>42.59</v>
      </c>
      <c r="F58" s="3">
        <v>0.1</v>
      </c>
      <c r="G58" s="3">
        <f>(30+31.37)/2</f>
        <v>30.685000000000002</v>
      </c>
      <c r="H58">
        <v>1</v>
      </c>
      <c r="I58">
        <v>27</v>
      </c>
      <c r="J58">
        <v>170</v>
      </c>
      <c r="K58">
        <v>61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 t="s">
        <v>31</v>
      </c>
      <c r="V58">
        <v>1</v>
      </c>
      <c r="W58" t="s">
        <v>19</v>
      </c>
      <c r="X58" t="s">
        <v>25</v>
      </c>
      <c r="Y58">
        <v>0.46160000000000001</v>
      </c>
    </row>
    <row r="59" spans="1:25" x14ac:dyDescent="0.35">
      <c r="A59" s="2">
        <v>44736.463194444441</v>
      </c>
      <c r="B59" s="3">
        <v>29.594000000000001</v>
      </c>
      <c r="C59" s="3">
        <f>(30.198+31.75)/2</f>
        <v>30.974</v>
      </c>
      <c r="D59" s="3">
        <f>(0.92+0.39)/2</f>
        <v>0.65500000000000003</v>
      </c>
      <c r="E59" s="3">
        <f>(43.11+44.19)/2</f>
        <v>43.65</v>
      </c>
      <c r="F59" s="3">
        <v>0.15</v>
      </c>
      <c r="G59" s="3">
        <f>(31.87+30.31)/2</f>
        <v>31.09</v>
      </c>
      <c r="H59">
        <v>1</v>
      </c>
      <c r="I59">
        <v>30</v>
      </c>
      <c r="J59">
        <v>190</v>
      </c>
      <c r="K59">
        <v>100</v>
      </c>
      <c r="L59">
        <v>1</v>
      </c>
      <c r="M59">
        <v>3</v>
      </c>
      <c r="N59">
        <v>3</v>
      </c>
      <c r="O59">
        <v>3</v>
      </c>
      <c r="P59" t="s">
        <v>33</v>
      </c>
      <c r="Q59">
        <v>2</v>
      </c>
      <c r="R59" t="s">
        <v>33</v>
      </c>
      <c r="S59" t="s">
        <v>33</v>
      </c>
      <c r="T59" t="s">
        <v>33</v>
      </c>
      <c r="U59" t="s">
        <v>31</v>
      </c>
      <c r="V59">
        <v>1</v>
      </c>
      <c r="W59" t="s">
        <v>19</v>
      </c>
      <c r="X59" t="s">
        <v>25</v>
      </c>
      <c r="Y59">
        <v>0.32800000000000001</v>
      </c>
    </row>
    <row r="60" spans="1:25" x14ac:dyDescent="0.35">
      <c r="A60" s="2">
        <v>44736.464583333327</v>
      </c>
      <c r="B60" s="3">
        <v>29.405999999999999</v>
      </c>
      <c r="C60" s="3">
        <v>30.212</v>
      </c>
      <c r="D60" s="3">
        <v>0.3</v>
      </c>
      <c r="E60" s="3">
        <v>42.64</v>
      </c>
      <c r="F60" s="3">
        <v>0.01</v>
      </c>
      <c r="G60" s="3">
        <v>30.44</v>
      </c>
      <c r="H60">
        <v>0</v>
      </c>
      <c r="I60">
        <v>72</v>
      </c>
      <c r="J60">
        <v>0</v>
      </c>
      <c r="K60">
        <v>50</v>
      </c>
      <c r="L60">
        <v>0</v>
      </c>
      <c r="M60">
        <v>2</v>
      </c>
      <c r="N60">
        <v>2</v>
      </c>
      <c r="O60">
        <v>2</v>
      </c>
      <c r="P60">
        <v>2</v>
      </c>
      <c r="Q60">
        <v>1</v>
      </c>
      <c r="R60">
        <v>1</v>
      </c>
      <c r="S60">
        <v>1</v>
      </c>
      <c r="T60">
        <v>1</v>
      </c>
      <c r="U60" t="s">
        <v>31</v>
      </c>
      <c r="V60">
        <v>1</v>
      </c>
      <c r="W60" t="s">
        <v>20</v>
      </c>
      <c r="X60" t="s">
        <v>25</v>
      </c>
      <c r="Y60">
        <v>0.43654999999999999</v>
      </c>
    </row>
    <row r="61" spans="1:25" x14ac:dyDescent="0.35">
      <c r="A61" s="2">
        <v>44736.465277777781</v>
      </c>
      <c r="B61" s="3">
        <v>29.5</v>
      </c>
      <c r="C61" s="3">
        <v>30.14</v>
      </c>
      <c r="D61" s="3">
        <v>0.34</v>
      </c>
      <c r="E61" s="3">
        <v>43.66</v>
      </c>
      <c r="F61" s="3">
        <v>0.04</v>
      </c>
      <c r="G61" s="3">
        <v>30.37</v>
      </c>
      <c r="H61">
        <v>1</v>
      </c>
      <c r="I61">
        <v>60</v>
      </c>
      <c r="J61">
        <v>178</v>
      </c>
      <c r="K61">
        <v>82</v>
      </c>
      <c r="L61">
        <v>0</v>
      </c>
      <c r="M61">
        <v>2</v>
      </c>
      <c r="N61">
        <v>2</v>
      </c>
      <c r="O61">
        <v>2</v>
      </c>
      <c r="P61">
        <v>2</v>
      </c>
      <c r="Q61">
        <v>1</v>
      </c>
      <c r="R61">
        <v>1</v>
      </c>
      <c r="S61">
        <v>1</v>
      </c>
      <c r="T61">
        <v>1</v>
      </c>
      <c r="U61" t="s">
        <v>31</v>
      </c>
      <c r="V61">
        <v>1</v>
      </c>
      <c r="W61" t="s">
        <v>20</v>
      </c>
      <c r="X61" t="s">
        <v>25</v>
      </c>
      <c r="Y61">
        <v>0.32800000000000001</v>
      </c>
    </row>
    <row r="62" spans="1:25" x14ac:dyDescent="0.35">
      <c r="A62" s="2">
        <v>44736.465613425928</v>
      </c>
      <c r="B62" s="3">
        <v>29.59</v>
      </c>
      <c r="C62" s="3">
        <v>29.61</v>
      </c>
      <c r="D62" s="3">
        <v>0.75</v>
      </c>
      <c r="E62" s="3">
        <v>43.21</v>
      </c>
      <c r="F62" s="3">
        <v>0.06</v>
      </c>
      <c r="G62" s="3">
        <v>30.31</v>
      </c>
      <c r="H62">
        <v>0</v>
      </c>
      <c r="I62">
        <v>27</v>
      </c>
      <c r="J62">
        <v>161</v>
      </c>
      <c r="K62">
        <v>75</v>
      </c>
      <c r="L62">
        <v>1</v>
      </c>
      <c r="M62">
        <v>3</v>
      </c>
      <c r="N62">
        <v>3</v>
      </c>
      <c r="O62">
        <v>2</v>
      </c>
      <c r="P62">
        <v>2</v>
      </c>
      <c r="Q62">
        <v>2</v>
      </c>
      <c r="R62">
        <v>2</v>
      </c>
      <c r="S62">
        <v>1</v>
      </c>
      <c r="T62">
        <v>1</v>
      </c>
      <c r="U62" t="s">
        <v>31</v>
      </c>
      <c r="V62">
        <v>1</v>
      </c>
      <c r="W62" t="s">
        <v>23</v>
      </c>
      <c r="X62" t="s">
        <v>25</v>
      </c>
      <c r="Y62">
        <v>0.58684999999999998</v>
      </c>
    </row>
    <row r="63" spans="1:25" x14ac:dyDescent="0.35">
      <c r="A63" s="2">
        <v>44736.46570601852</v>
      </c>
      <c r="B63" s="3">
        <v>29.59</v>
      </c>
      <c r="C63" s="3">
        <v>29.56</v>
      </c>
      <c r="D63" s="3">
        <v>0.75</v>
      </c>
      <c r="E63" s="3">
        <v>43.32</v>
      </c>
      <c r="F63" s="3">
        <v>0.04</v>
      </c>
      <c r="G63" s="3">
        <v>30.31</v>
      </c>
      <c r="H63">
        <v>1</v>
      </c>
      <c r="I63">
        <v>25</v>
      </c>
      <c r="J63">
        <v>188</v>
      </c>
      <c r="K63">
        <v>79</v>
      </c>
      <c r="L63">
        <v>1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 t="s">
        <v>33</v>
      </c>
      <c r="V63">
        <v>1</v>
      </c>
      <c r="W63" t="s">
        <v>23</v>
      </c>
      <c r="X63" t="s">
        <v>28</v>
      </c>
      <c r="Y63">
        <v>0.41985000000000011</v>
      </c>
    </row>
    <row r="64" spans="1:25" x14ac:dyDescent="0.35">
      <c r="A64" s="2">
        <v>44736.46597222222</v>
      </c>
      <c r="B64" s="3">
        <v>29.59</v>
      </c>
      <c r="C64" s="3">
        <v>29.56</v>
      </c>
      <c r="D64" s="3">
        <v>0.75</v>
      </c>
      <c r="E64" s="3">
        <v>43.32</v>
      </c>
      <c r="F64" s="3">
        <v>0.04</v>
      </c>
      <c r="G64" s="3">
        <v>30.31</v>
      </c>
      <c r="H64">
        <v>0</v>
      </c>
      <c r="I64">
        <v>58</v>
      </c>
      <c r="J64">
        <v>160</v>
      </c>
      <c r="K64">
        <v>63</v>
      </c>
      <c r="L64">
        <v>0</v>
      </c>
      <c r="M64">
        <v>3</v>
      </c>
      <c r="N64">
        <v>3</v>
      </c>
      <c r="O64">
        <v>2</v>
      </c>
      <c r="P64">
        <v>2</v>
      </c>
      <c r="Q64">
        <v>1</v>
      </c>
      <c r="R64">
        <v>1</v>
      </c>
      <c r="S64">
        <v>1</v>
      </c>
      <c r="T64">
        <v>1</v>
      </c>
      <c r="U64" t="s">
        <v>33</v>
      </c>
      <c r="V64">
        <v>1</v>
      </c>
      <c r="W64" t="s">
        <v>24</v>
      </c>
      <c r="X64" t="s">
        <v>27</v>
      </c>
      <c r="Y64">
        <v>0.44490000000000002</v>
      </c>
    </row>
    <row r="65" spans="1:25" x14ac:dyDescent="0.35">
      <c r="A65" s="2">
        <v>44736.46597222222</v>
      </c>
      <c r="B65" s="3">
        <v>29.59</v>
      </c>
      <c r="C65" s="3">
        <v>29.56</v>
      </c>
      <c r="D65" s="3">
        <v>0.75</v>
      </c>
      <c r="E65" s="3">
        <v>43.32</v>
      </c>
      <c r="F65" s="3">
        <v>0.04</v>
      </c>
      <c r="G65" s="3">
        <v>30.31</v>
      </c>
      <c r="H65">
        <v>1</v>
      </c>
      <c r="I65">
        <v>60</v>
      </c>
      <c r="J65">
        <v>180</v>
      </c>
      <c r="K65">
        <v>98</v>
      </c>
      <c r="L65">
        <v>1</v>
      </c>
      <c r="M65">
        <v>3</v>
      </c>
      <c r="N65">
        <v>3</v>
      </c>
      <c r="O65">
        <v>2</v>
      </c>
      <c r="P65">
        <v>2</v>
      </c>
      <c r="Q65">
        <v>2</v>
      </c>
      <c r="R65">
        <v>2</v>
      </c>
      <c r="S65">
        <v>1</v>
      </c>
      <c r="T65">
        <v>1</v>
      </c>
      <c r="U65" t="s">
        <v>33</v>
      </c>
      <c r="V65">
        <v>1</v>
      </c>
      <c r="W65" t="s">
        <v>24</v>
      </c>
      <c r="X65" t="s">
        <v>27</v>
      </c>
      <c r="Y65">
        <v>0.57014999999999993</v>
      </c>
    </row>
    <row r="66" spans="1:25" x14ac:dyDescent="0.35">
      <c r="A66" s="2">
        <v>44736.466006944444</v>
      </c>
      <c r="B66" s="3">
        <v>29.59</v>
      </c>
      <c r="C66" s="3">
        <v>29.48</v>
      </c>
      <c r="D66" s="3">
        <v>0.84</v>
      </c>
      <c r="E66" s="3">
        <v>43.89</v>
      </c>
      <c r="F66" s="3">
        <v>0.02</v>
      </c>
      <c r="G66" s="3">
        <v>30.31</v>
      </c>
      <c r="H66">
        <v>1</v>
      </c>
      <c r="I66">
        <v>24</v>
      </c>
      <c r="J66">
        <v>178</v>
      </c>
      <c r="K66">
        <v>91</v>
      </c>
      <c r="L66">
        <v>0</v>
      </c>
      <c r="M66">
        <v>3</v>
      </c>
      <c r="N66">
        <v>2</v>
      </c>
      <c r="O66">
        <v>3</v>
      </c>
      <c r="P66">
        <v>3</v>
      </c>
      <c r="Q66">
        <v>1</v>
      </c>
      <c r="R66">
        <v>1</v>
      </c>
      <c r="S66">
        <v>1</v>
      </c>
      <c r="T66">
        <v>1</v>
      </c>
      <c r="U66" t="s">
        <v>31</v>
      </c>
      <c r="V66">
        <v>1</v>
      </c>
      <c r="W66" t="s">
        <v>23</v>
      </c>
      <c r="X66" t="s">
        <v>27</v>
      </c>
      <c r="Y66">
        <v>0.41149999999999998</v>
      </c>
    </row>
    <row r="67" spans="1:25" x14ac:dyDescent="0.35">
      <c r="A67" s="2">
        <v>44736.466666666667</v>
      </c>
      <c r="B67" s="3">
        <v>29.687999999999999</v>
      </c>
      <c r="C67" s="3">
        <f>(30.91+31.04)/2</f>
        <v>30.975000000000001</v>
      </c>
      <c r="D67" s="3">
        <f>(1.08+1.65)/2</f>
        <v>1.365</v>
      </c>
      <c r="E67" s="3">
        <f>(38.48+42.79)/2</f>
        <v>40.634999999999998</v>
      </c>
      <c r="F67" s="3">
        <v>0.18</v>
      </c>
      <c r="G67" s="3">
        <f>(33.13+32.25)/2</f>
        <v>32.69</v>
      </c>
      <c r="H67">
        <v>0</v>
      </c>
      <c r="I67">
        <v>54</v>
      </c>
      <c r="J67">
        <v>157</v>
      </c>
      <c r="K67">
        <v>39</v>
      </c>
      <c r="L67">
        <v>-1</v>
      </c>
      <c r="M67">
        <v>3</v>
      </c>
      <c r="N67" t="s">
        <v>33</v>
      </c>
      <c r="O67" t="s">
        <v>33</v>
      </c>
      <c r="P67" t="s">
        <v>33</v>
      </c>
      <c r="Q67">
        <v>2</v>
      </c>
      <c r="R67" t="s">
        <v>33</v>
      </c>
      <c r="S67" t="s">
        <v>33</v>
      </c>
      <c r="T67" t="s">
        <v>33</v>
      </c>
      <c r="U67" t="s">
        <v>33</v>
      </c>
      <c r="V67">
        <v>1</v>
      </c>
      <c r="W67" t="s">
        <v>22</v>
      </c>
      <c r="X67" t="s">
        <v>25</v>
      </c>
      <c r="Y67">
        <v>0.44490000000000002</v>
      </c>
    </row>
    <row r="68" spans="1:25" x14ac:dyDescent="0.35">
      <c r="A68" s="2">
        <v>44736.467534722222</v>
      </c>
      <c r="B68" s="3">
        <v>29.687999999999999</v>
      </c>
      <c r="C68" s="3">
        <v>29.47</v>
      </c>
      <c r="D68" s="3">
        <v>0.69</v>
      </c>
      <c r="E68" s="3">
        <v>45.76</v>
      </c>
      <c r="F68" s="3">
        <v>0.05</v>
      </c>
      <c r="G68" s="3">
        <v>30.12</v>
      </c>
      <c r="H68">
        <v>1</v>
      </c>
      <c r="I68">
        <v>42</v>
      </c>
      <c r="J68">
        <v>183</v>
      </c>
      <c r="K68">
        <v>90</v>
      </c>
      <c r="L68">
        <v>1</v>
      </c>
      <c r="M68">
        <v>2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 t="s">
        <v>35</v>
      </c>
      <c r="V68">
        <v>1</v>
      </c>
      <c r="W68" t="s">
        <v>21</v>
      </c>
      <c r="X68" t="s">
        <v>28</v>
      </c>
      <c r="Y68">
        <v>0.46160000000000001</v>
      </c>
    </row>
    <row r="69" spans="1:25" x14ac:dyDescent="0.35">
      <c r="A69" s="2">
        <v>44736.469444444447</v>
      </c>
      <c r="B69" s="3">
        <v>29.91</v>
      </c>
      <c r="C69" s="3">
        <f>(29.55+31.3)/2</f>
        <v>30.425000000000001</v>
      </c>
      <c r="D69" s="3">
        <f>(1+1.22)/2</f>
        <v>1.1099999999999999</v>
      </c>
      <c r="E69" s="3">
        <f>(45.38+46.06)/2</f>
        <v>45.72</v>
      </c>
      <c r="F69" s="3">
        <v>0.12</v>
      </c>
      <c r="G69" s="3">
        <f>(31.69+30.12)/2</f>
        <v>30.905000000000001</v>
      </c>
      <c r="H69">
        <v>1</v>
      </c>
      <c r="I69">
        <v>18</v>
      </c>
      <c r="J69">
        <v>161</v>
      </c>
      <c r="K69">
        <v>60</v>
      </c>
      <c r="L69">
        <v>1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 t="s">
        <v>33</v>
      </c>
      <c r="V69">
        <v>1</v>
      </c>
      <c r="W69" t="s">
        <v>19</v>
      </c>
      <c r="X69" t="s">
        <v>28</v>
      </c>
      <c r="Y69">
        <v>0.32800000000000001</v>
      </c>
    </row>
    <row r="70" spans="1:25" x14ac:dyDescent="0.35">
      <c r="A70" s="2">
        <v>44736.470138888893</v>
      </c>
      <c r="B70" s="3">
        <v>30</v>
      </c>
      <c r="C70" s="3">
        <f>(31.086+31.12)/2</f>
        <v>31.103000000000002</v>
      </c>
      <c r="D70" s="3">
        <f>(1.04+1.78)/2</f>
        <v>1.4100000000000001</v>
      </c>
      <c r="E70" s="3">
        <f>(42.9+43.89)/2</f>
        <v>43.394999999999996</v>
      </c>
      <c r="F70" s="3">
        <v>0.15</v>
      </c>
      <c r="G70" s="3">
        <f>(33.13+32.19)/2</f>
        <v>32.659999999999997</v>
      </c>
      <c r="H70">
        <v>0</v>
      </c>
      <c r="I70">
        <v>17</v>
      </c>
      <c r="J70">
        <v>0</v>
      </c>
      <c r="K70">
        <v>50</v>
      </c>
      <c r="L70">
        <v>2</v>
      </c>
      <c r="M70">
        <v>3</v>
      </c>
      <c r="N70">
        <v>3</v>
      </c>
      <c r="O70">
        <v>3</v>
      </c>
      <c r="P70">
        <v>3</v>
      </c>
      <c r="Q70">
        <v>2</v>
      </c>
      <c r="R70">
        <v>2</v>
      </c>
      <c r="S70">
        <v>2</v>
      </c>
      <c r="T70">
        <v>2</v>
      </c>
      <c r="U70" t="s">
        <v>30</v>
      </c>
      <c r="V70">
        <v>1</v>
      </c>
      <c r="W70" t="s">
        <v>22</v>
      </c>
      <c r="X70" t="s">
        <v>27</v>
      </c>
      <c r="Y70">
        <v>0.37809999999999999</v>
      </c>
    </row>
    <row r="71" spans="1:25" x14ac:dyDescent="0.35">
      <c r="A71" s="2">
        <v>44736.474548611113</v>
      </c>
      <c r="B71" s="3">
        <v>30.405999999999999</v>
      </c>
      <c r="C71" s="3">
        <v>30.51</v>
      </c>
      <c r="D71" s="3">
        <v>1.33</v>
      </c>
      <c r="E71" s="3">
        <v>47.2</v>
      </c>
      <c r="F71" s="3">
        <v>0.01</v>
      </c>
      <c r="G71" s="3">
        <v>30.19</v>
      </c>
      <c r="H71">
        <v>0</v>
      </c>
      <c r="I71">
        <v>20</v>
      </c>
      <c r="J71">
        <v>153</v>
      </c>
      <c r="K71">
        <v>49</v>
      </c>
      <c r="L71">
        <v>1</v>
      </c>
      <c r="M71">
        <v>3</v>
      </c>
      <c r="N71">
        <v>3</v>
      </c>
      <c r="O71">
        <v>3</v>
      </c>
      <c r="P71">
        <v>3</v>
      </c>
      <c r="Q71">
        <v>1</v>
      </c>
      <c r="R71">
        <v>1</v>
      </c>
      <c r="S71">
        <v>1</v>
      </c>
      <c r="T71">
        <v>1</v>
      </c>
      <c r="U71" t="s">
        <v>40</v>
      </c>
      <c r="V71">
        <v>1</v>
      </c>
      <c r="W71" t="s">
        <v>20</v>
      </c>
      <c r="X71" t="s">
        <v>27</v>
      </c>
      <c r="Y71">
        <v>0.31130000000000002</v>
      </c>
    </row>
    <row r="72" spans="1:25" x14ac:dyDescent="0.35">
      <c r="A72" s="2">
        <v>44736.477083333331</v>
      </c>
      <c r="B72" s="3">
        <v>30.187999999999999</v>
      </c>
      <c r="C72" s="3">
        <v>30.986000000000001</v>
      </c>
      <c r="D72" s="3">
        <v>1.8</v>
      </c>
      <c r="E72" s="3">
        <v>49.43</v>
      </c>
      <c r="F72" s="3">
        <v>0</v>
      </c>
      <c r="G72" s="3">
        <v>30.25</v>
      </c>
      <c r="H72">
        <v>0</v>
      </c>
      <c r="I72">
        <v>55</v>
      </c>
      <c r="J72">
        <v>167</v>
      </c>
      <c r="K72">
        <v>55</v>
      </c>
      <c r="L72">
        <v>2</v>
      </c>
      <c r="M72">
        <v>3</v>
      </c>
      <c r="N72">
        <v>3</v>
      </c>
      <c r="O72">
        <v>3</v>
      </c>
      <c r="P72">
        <v>3</v>
      </c>
      <c r="Q72">
        <v>0</v>
      </c>
      <c r="R72">
        <v>0</v>
      </c>
      <c r="S72">
        <v>0</v>
      </c>
      <c r="T72">
        <v>0</v>
      </c>
      <c r="U72" t="s">
        <v>39</v>
      </c>
      <c r="V72">
        <v>1</v>
      </c>
      <c r="W72" t="s">
        <v>20</v>
      </c>
      <c r="X72" t="s">
        <v>28</v>
      </c>
      <c r="Y72">
        <v>0.31130000000000002</v>
      </c>
    </row>
    <row r="73" spans="1:25" x14ac:dyDescent="0.35">
      <c r="A73" s="2">
        <v>44736.478472222218</v>
      </c>
      <c r="B73" s="3">
        <v>30.31</v>
      </c>
      <c r="C73" s="3">
        <v>30.84</v>
      </c>
      <c r="D73" s="3">
        <v>1.29</v>
      </c>
      <c r="E73" s="3">
        <v>51.18</v>
      </c>
      <c r="F73" s="3">
        <v>0.05</v>
      </c>
      <c r="G73" s="3">
        <v>30.31</v>
      </c>
      <c r="H73">
        <v>1</v>
      </c>
      <c r="I73">
        <v>17</v>
      </c>
      <c r="J73">
        <v>168</v>
      </c>
      <c r="K73">
        <v>0</v>
      </c>
      <c r="L73">
        <v>-1</v>
      </c>
      <c r="M73">
        <v>3</v>
      </c>
      <c r="N73">
        <v>2</v>
      </c>
      <c r="O73">
        <v>2</v>
      </c>
      <c r="P73">
        <v>3</v>
      </c>
      <c r="Q73">
        <v>2</v>
      </c>
      <c r="R73">
        <v>2</v>
      </c>
      <c r="S73">
        <v>2</v>
      </c>
      <c r="T73">
        <v>2</v>
      </c>
      <c r="U73" t="s">
        <v>39</v>
      </c>
      <c r="V73">
        <v>1</v>
      </c>
      <c r="W73" t="s">
        <v>20</v>
      </c>
      <c r="X73" t="s">
        <v>28</v>
      </c>
      <c r="Y73">
        <v>0.32800000000000001</v>
      </c>
    </row>
    <row r="74" spans="1:25" x14ac:dyDescent="0.35">
      <c r="A74" s="2">
        <v>44736.481249999997</v>
      </c>
      <c r="B74" s="3">
        <v>30.594000000000001</v>
      </c>
      <c r="C74" s="3">
        <v>30.19</v>
      </c>
      <c r="D74" s="3">
        <v>0.53</v>
      </c>
      <c r="E74" s="3">
        <v>49.04</v>
      </c>
      <c r="F74" s="3">
        <v>0.03</v>
      </c>
      <c r="G74" s="3">
        <v>30.37</v>
      </c>
      <c r="H74">
        <v>0</v>
      </c>
      <c r="I74">
        <v>59</v>
      </c>
      <c r="J74">
        <v>165</v>
      </c>
      <c r="K74">
        <v>63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 t="s">
        <v>31</v>
      </c>
      <c r="V74">
        <v>1</v>
      </c>
      <c r="W74" t="s">
        <v>23</v>
      </c>
      <c r="X74" t="s">
        <v>26</v>
      </c>
      <c r="Y74">
        <v>0.45324999999999999</v>
      </c>
    </row>
    <row r="75" spans="1:25" x14ac:dyDescent="0.35">
      <c r="A75" s="2">
        <v>44736.486111111109</v>
      </c>
      <c r="B75" s="3">
        <v>31.094000000000001</v>
      </c>
      <c r="C75" s="3">
        <v>31.2</v>
      </c>
      <c r="D75" s="3">
        <v>0.77</v>
      </c>
      <c r="E75" s="3">
        <v>42.96</v>
      </c>
      <c r="F75" s="3">
        <v>0.06</v>
      </c>
      <c r="G75" s="3">
        <v>30.69</v>
      </c>
      <c r="H75">
        <v>0</v>
      </c>
      <c r="I75">
        <v>34</v>
      </c>
      <c r="J75">
        <v>145</v>
      </c>
      <c r="K75">
        <v>65</v>
      </c>
      <c r="L75">
        <v>1</v>
      </c>
      <c r="M75">
        <v>2</v>
      </c>
      <c r="N75">
        <v>2</v>
      </c>
      <c r="O75">
        <v>2</v>
      </c>
      <c r="P75">
        <v>2</v>
      </c>
      <c r="Q75">
        <v>1</v>
      </c>
      <c r="R75">
        <v>1</v>
      </c>
      <c r="S75">
        <v>1</v>
      </c>
      <c r="T75">
        <v>1</v>
      </c>
      <c r="U75" t="s">
        <v>39</v>
      </c>
      <c r="V75">
        <v>1</v>
      </c>
      <c r="W75" t="s">
        <v>20</v>
      </c>
      <c r="Y75">
        <v>0.46160000000000001</v>
      </c>
    </row>
    <row r="76" spans="1:25" x14ac:dyDescent="0.35">
      <c r="A76" s="2">
        <v>44736.512499999997</v>
      </c>
      <c r="B76" s="3">
        <v>31.905999999999999</v>
      </c>
      <c r="C76" s="3">
        <v>30.58</v>
      </c>
      <c r="D76" s="3">
        <v>0.53</v>
      </c>
      <c r="E76" s="3">
        <v>41.69</v>
      </c>
      <c r="F76" s="3">
        <v>0</v>
      </c>
      <c r="G76" s="3">
        <v>30.94</v>
      </c>
      <c r="H76">
        <v>0</v>
      </c>
      <c r="I76">
        <v>84</v>
      </c>
      <c r="J76">
        <v>158</v>
      </c>
      <c r="K76">
        <v>0</v>
      </c>
      <c r="L76">
        <v>2</v>
      </c>
      <c r="M76">
        <v>2</v>
      </c>
      <c r="N76">
        <v>2</v>
      </c>
      <c r="O76">
        <v>2</v>
      </c>
      <c r="P76">
        <v>2</v>
      </c>
      <c r="Q76">
        <v>0</v>
      </c>
      <c r="R76">
        <v>0</v>
      </c>
      <c r="S76">
        <v>0</v>
      </c>
      <c r="T76">
        <v>0</v>
      </c>
      <c r="U76" t="s">
        <v>31</v>
      </c>
      <c r="V76" t="s">
        <v>33</v>
      </c>
      <c r="W76" t="s">
        <v>24</v>
      </c>
      <c r="X76" t="s">
        <v>26</v>
      </c>
      <c r="Y76">
        <v>0.42820000000000003</v>
      </c>
    </row>
    <row r="77" spans="1:25" x14ac:dyDescent="0.35">
      <c r="A77" s="2">
        <v>44736.515277777777</v>
      </c>
      <c r="B77" s="3">
        <v>32.313000000000002</v>
      </c>
      <c r="C77" s="3">
        <v>31.08</v>
      </c>
      <c r="D77" s="3">
        <v>0.44</v>
      </c>
      <c r="E77" s="3">
        <v>45.38</v>
      </c>
      <c r="F77" s="3">
        <v>0.01</v>
      </c>
      <c r="G77" s="3">
        <v>31.12</v>
      </c>
      <c r="H77">
        <v>1</v>
      </c>
      <c r="I77">
        <v>29</v>
      </c>
      <c r="J77">
        <v>185</v>
      </c>
      <c r="K77">
        <v>88</v>
      </c>
      <c r="L77">
        <v>1</v>
      </c>
      <c r="M77">
        <v>2</v>
      </c>
      <c r="N77">
        <v>2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30</v>
      </c>
      <c r="V77">
        <v>1</v>
      </c>
      <c r="W77" t="s">
        <v>23</v>
      </c>
      <c r="X77" t="s">
        <v>25</v>
      </c>
      <c r="Y77">
        <v>0.40315000000000001</v>
      </c>
    </row>
    <row r="78" spans="1:25" x14ac:dyDescent="0.35">
      <c r="A78" s="2">
        <v>44736.515277777777</v>
      </c>
      <c r="B78" s="3">
        <v>32.313000000000002</v>
      </c>
      <c r="C78" s="3">
        <v>31.08</v>
      </c>
      <c r="D78" s="3">
        <v>0.44</v>
      </c>
      <c r="E78" s="3">
        <v>45.38</v>
      </c>
      <c r="F78" s="3">
        <v>0.01</v>
      </c>
      <c r="G78" s="3">
        <v>31.12</v>
      </c>
      <c r="H78">
        <v>0</v>
      </c>
      <c r="I78">
        <v>28</v>
      </c>
      <c r="J78">
        <v>170</v>
      </c>
      <c r="K78">
        <v>64</v>
      </c>
      <c r="L78">
        <v>1</v>
      </c>
      <c r="M78">
        <v>2</v>
      </c>
      <c r="N78">
        <v>3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 t="s">
        <v>30</v>
      </c>
      <c r="V78">
        <v>1</v>
      </c>
      <c r="W78" t="s">
        <v>23</v>
      </c>
      <c r="X78" t="s">
        <v>25</v>
      </c>
      <c r="Y78">
        <v>0.43654999999999999</v>
      </c>
    </row>
    <row r="79" spans="1:25" x14ac:dyDescent="0.35">
      <c r="A79" s="2">
        <v>44736.517314814817</v>
      </c>
      <c r="B79" s="3">
        <v>32.188000000000002</v>
      </c>
      <c r="C79" s="3">
        <f>(32.02+33.04)/2</f>
        <v>32.53</v>
      </c>
      <c r="D79" s="3">
        <f>(0.83+0.48)/2</f>
        <v>0.65500000000000003</v>
      </c>
      <c r="E79" s="3">
        <f>(42.1+43.95)/2</f>
        <v>43.025000000000006</v>
      </c>
      <c r="F79" s="3">
        <f>0.27/2</f>
        <v>0.13500000000000001</v>
      </c>
      <c r="G79" s="3">
        <f>(31.81+33)/2</f>
        <v>32.405000000000001</v>
      </c>
      <c r="H79">
        <v>0</v>
      </c>
      <c r="I79">
        <v>16</v>
      </c>
      <c r="J79">
        <v>165</v>
      </c>
      <c r="K79">
        <v>62</v>
      </c>
      <c r="L79">
        <v>0</v>
      </c>
      <c r="M79">
        <v>2</v>
      </c>
      <c r="N79">
        <v>2</v>
      </c>
      <c r="O79">
        <v>1</v>
      </c>
      <c r="P79">
        <v>2</v>
      </c>
      <c r="Q79">
        <v>2</v>
      </c>
      <c r="R79">
        <v>2</v>
      </c>
      <c r="S79">
        <v>2</v>
      </c>
      <c r="T79">
        <v>2</v>
      </c>
      <c r="U79" t="s">
        <v>39</v>
      </c>
      <c r="V79">
        <v>1</v>
      </c>
      <c r="W79" t="s">
        <v>19</v>
      </c>
      <c r="X79" t="s">
        <v>28</v>
      </c>
      <c r="Y79">
        <v>0.53674999999999995</v>
      </c>
    </row>
    <row r="80" spans="1:25" x14ac:dyDescent="0.35">
      <c r="A80" s="2">
        <v>44736.517361111109</v>
      </c>
      <c r="B80" s="3">
        <v>32.188000000000002</v>
      </c>
      <c r="C80" s="3">
        <v>31.77</v>
      </c>
      <c r="D80" s="3">
        <v>1.1599999999999999</v>
      </c>
      <c r="E80" s="3">
        <v>40.76</v>
      </c>
      <c r="F80" s="3">
        <v>0.01</v>
      </c>
      <c r="G80" s="3">
        <v>32.56</v>
      </c>
      <c r="H80">
        <v>0</v>
      </c>
      <c r="I80">
        <v>24</v>
      </c>
      <c r="J80">
        <v>170</v>
      </c>
      <c r="K80">
        <v>62</v>
      </c>
      <c r="L80">
        <v>1</v>
      </c>
      <c r="M80">
        <v>2</v>
      </c>
      <c r="N80">
        <v>2</v>
      </c>
      <c r="O80">
        <v>2</v>
      </c>
      <c r="P80">
        <v>2</v>
      </c>
      <c r="Q80">
        <v>0</v>
      </c>
      <c r="R80">
        <v>1</v>
      </c>
      <c r="S80">
        <v>0</v>
      </c>
      <c r="T80">
        <v>1</v>
      </c>
      <c r="U80" t="s">
        <v>30</v>
      </c>
      <c r="V80">
        <v>1</v>
      </c>
      <c r="W80" t="s">
        <v>20</v>
      </c>
      <c r="X80" t="s">
        <v>26</v>
      </c>
      <c r="Y80">
        <v>0.55345</v>
      </c>
    </row>
    <row r="81" spans="1:25" x14ac:dyDescent="0.35">
      <c r="A81" s="2">
        <v>44736.517511574071</v>
      </c>
      <c r="B81" s="3">
        <v>32.094000000000001</v>
      </c>
      <c r="C81" s="3">
        <v>31.375</v>
      </c>
      <c r="D81" s="3">
        <v>0.49</v>
      </c>
      <c r="E81" s="3">
        <v>42.92</v>
      </c>
      <c r="F81" s="3">
        <v>0.03</v>
      </c>
      <c r="G81" s="3">
        <v>31.31</v>
      </c>
      <c r="H81">
        <v>0</v>
      </c>
      <c r="I81">
        <v>16</v>
      </c>
      <c r="J81">
        <v>164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 t="s">
        <v>30</v>
      </c>
      <c r="V81">
        <v>1</v>
      </c>
      <c r="W81" t="s">
        <v>24</v>
      </c>
      <c r="X81" t="s">
        <v>26</v>
      </c>
      <c r="Y81">
        <v>0.57850000000000001</v>
      </c>
    </row>
    <row r="82" spans="1:25" x14ac:dyDescent="0.35">
      <c r="A82" s="2">
        <v>44736.518136574072</v>
      </c>
      <c r="B82" s="3">
        <v>32.094000000000001</v>
      </c>
      <c r="C82" s="3">
        <v>31.53</v>
      </c>
      <c r="D82" s="3">
        <v>0.56999999999999995</v>
      </c>
      <c r="E82" s="3">
        <v>43</v>
      </c>
      <c r="F82" s="3">
        <v>0.04</v>
      </c>
      <c r="G82" s="3">
        <v>31.37</v>
      </c>
      <c r="H82">
        <v>0</v>
      </c>
      <c r="I82">
        <v>15</v>
      </c>
      <c r="J82">
        <v>173</v>
      </c>
      <c r="K82">
        <v>63</v>
      </c>
      <c r="L82">
        <v>0</v>
      </c>
      <c r="M82">
        <v>3</v>
      </c>
      <c r="N82">
        <v>2</v>
      </c>
      <c r="O82">
        <v>2</v>
      </c>
      <c r="P82">
        <v>2</v>
      </c>
      <c r="Q82">
        <v>1</v>
      </c>
      <c r="R82">
        <v>1</v>
      </c>
      <c r="S82">
        <v>1</v>
      </c>
      <c r="T82">
        <v>1</v>
      </c>
      <c r="U82" t="s">
        <v>31</v>
      </c>
      <c r="V82">
        <v>1</v>
      </c>
      <c r="W82" t="s">
        <v>24</v>
      </c>
      <c r="X82" t="s">
        <v>26</v>
      </c>
      <c r="Y82">
        <v>0.46160000000000001</v>
      </c>
    </row>
    <row r="83" spans="1:25" x14ac:dyDescent="0.35">
      <c r="A83" s="2">
        <v>44736.521238425928</v>
      </c>
      <c r="B83" s="3">
        <v>32.81</v>
      </c>
      <c r="C83" s="3">
        <v>31.72</v>
      </c>
      <c r="D83" s="3">
        <v>0.57999999999999996</v>
      </c>
      <c r="E83" s="3">
        <v>35.409999999999997</v>
      </c>
      <c r="F83" s="3">
        <v>0.02</v>
      </c>
      <c r="G83" s="3">
        <v>31.62</v>
      </c>
      <c r="H83">
        <v>0</v>
      </c>
      <c r="I83">
        <v>20</v>
      </c>
      <c r="J83">
        <v>170</v>
      </c>
      <c r="K83">
        <v>55</v>
      </c>
      <c r="L83">
        <v>0</v>
      </c>
      <c r="M83">
        <v>3</v>
      </c>
      <c r="N83">
        <v>3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 t="s">
        <v>29</v>
      </c>
      <c r="V83">
        <v>1</v>
      </c>
      <c r="W83" t="s">
        <v>23</v>
      </c>
      <c r="X83" t="s">
        <v>25</v>
      </c>
      <c r="Y83">
        <v>0.60355000000000003</v>
      </c>
    </row>
    <row r="84" spans="1:25" x14ac:dyDescent="0.35">
      <c r="A84" s="2">
        <v>44736.52140046296</v>
      </c>
      <c r="B84" s="3">
        <v>32.688000000000002</v>
      </c>
      <c r="C84" s="3">
        <f>(32.35+32.48)/2</f>
        <v>32.414999999999999</v>
      </c>
      <c r="D84" s="3">
        <f>(1.74+0.87)/2</f>
        <v>1.3049999999999999</v>
      </c>
      <c r="E84" s="3">
        <f>(35.54+39.37)/2</f>
        <v>37.454999999999998</v>
      </c>
      <c r="F84" s="3">
        <v>0.16</v>
      </c>
      <c r="G84" s="3">
        <f>(34.38+33.25)/2</f>
        <v>33.814999999999998</v>
      </c>
      <c r="H84">
        <v>1</v>
      </c>
      <c r="I84">
        <v>22</v>
      </c>
      <c r="J84">
        <v>175</v>
      </c>
      <c r="K84">
        <v>73</v>
      </c>
      <c r="L84">
        <v>0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 t="s">
        <v>35</v>
      </c>
      <c r="V84">
        <v>1</v>
      </c>
      <c r="W84" t="s">
        <v>22</v>
      </c>
      <c r="X84" t="s">
        <v>25</v>
      </c>
      <c r="Y84">
        <v>0.46160000000000001</v>
      </c>
    </row>
    <row r="85" spans="1:25" x14ac:dyDescent="0.35">
      <c r="A85" s="2">
        <v>44736.522222222222</v>
      </c>
      <c r="B85" s="3">
        <v>32.688000000000002</v>
      </c>
      <c r="C85" s="3">
        <f>(31.77+32.63)/2</f>
        <v>32.200000000000003</v>
      </c>
      <c r="D85" s="3">
        <f>(0.69+0.96)/2</f>
        <v>0.82499999999999996</v>
      </c>
      <c r="E85" s="3">
        <f>(37.19+39.58)/2</f>
        <v>38.384999999999998</v>
      </c>
      <c r="F85" s="3">
        <f>0.21/2</f>
        <v>0.105</v>
      </c>
      <c r="G85" s="3">
        <f>(33+31.81)/2</f>
        <v>32.405000000000001</v>
      </c>
      <c r="H85">
        <v>1</v>
      </c>
      <c r="I85">
        <v>14</v>
      </c>
      <c r="J85">
        <v>180</v>
      </c>
      <c r="K85">
        <v>64</v>
      </c>
      <c r="L85">
        <v>1</v>
      </c>
      <c r="M85">
        <v>3</v>
      </c>
      <c r="N85">
        <v>3</v>
      </c>
      <c r="O85">
        <v>2</v>
      </c>
      <c r="P85">
        <v>2</v>
      </c>
      <c r="Q85">
        <v>2</v>
      </c>
      <c r="R85">
        <v>2</v>
      </c>
      <c r="S85">
        <v>0</v>
      </c>
      <c r="T85">
        <v>1</v>
      </c>
      <c r="U85" t="s">
        <v>41</v>
      </c>
      <c r="V85">
        <v>1</v>
      </c>
      <c r="W85" t="s">
        <v>19</v>
      </c>
      <c r="X85" t="s">
        <v>26</v>
      </c>
      <c r="Y85">
        <v>0.68705000000000005</v>
      </c>
    </row>
    <row r="86" spans="1:25" x14ac:dyDescent="0.35">
      <c r="A86" s="2">
        <v>44736.522222222222</v>
      </c>
      <c r="B86" s="3">
        <v>32.688000000000002</v>
      </c>
      <c r="C86" s="3">
        <f>(31.77+32.63)/2</f>
        <v>32.200000000000003</v>
      </c>
      <c r="D86" s="3">
        <f>(0.69+0.96)/2</f>
        <v>0.82499999999999996</v>
      </c>
      <c r="E86" s="3">
        <f>(39.58+37.19)/2</f>
        <v>38.384999999999998</v>
      </c>
      <c r="F86" s="3">
        <v>0.11</v>
      </c>
      <c r="G86" s="3">
        <f>(33+31.81)/2</f>
        <v>32.405000000000001</v>
      </c>
      <c r="H86">
        <v>1</v>
      </c>
      <c r="I86">
        <v>14</v>
      </c>
      <c r="J86">
        <v>170</v>
      </c>
      <c r="K86">
        <v>49</v>
      </c>
      <c r="L86">
        <v>0</v>
      </c>
      <c r="M86">
        <v>3</v>
      </c>
      <c r="N86" t="s">
        <v>33</v>
      </c>
      <c r="O86" t="s">
        <v>33</v>
      </c>
      <c r="P86" t="s">
        <v>33</v>
      </c>
      <c r="Q86">
        <v>2</v>
      </c>
      <c r="R86" t="s">
        <v>33</v>
      </c>
      <c r="S86" t="s">
        <v>33</v>
      </c>
      <c r="T86" t="s">
        <v>33</v>
      </c>
      <c r="U86" t="s">
        <v>41</v>
      </c>
      <c r="V86">
        <v>1</v>
      </c>
      <c r="W86" t="s">
        <v>19</v>
      </c>
      <c r="X86" t="s">
        <v>25</v>
      </c>
      <c r="Y86">
        <v>0.44490000000000002</v>
      </c>
    </row>
    <row r="87" spans="1:25" x14ac:dyDescent="0.35">
      <c r="A87" s="2">
        <v>44736.522222222222</v>
      </c>
      <c r="B87" s="3">
        <v>32.688000000000002</v>
      </c>
      <c r="C87" s="3">
        <v>31.59</v>
      </c>
      <c r="D87" s="3">
        <v>0.39</v>
      </c>
      <c r="E87" s="3">
        <v>38.03</v>
      </c>
      <c r="F87" s="3">
        <v>0.04</v>
      </c>
      <c r="G87" s="3">
        <v>31.69</v>
      </c>
      <c r="H87">
        <v>1</v>
      </c>
      <c r="I87">
        <v>56</v>
      </c>
      <c r="J87">
        <v>165</v>
      </c>
      <c r="K87">
        <v>56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 t="s">
        <v>33</v>
      </c>
      <c r="V87">
        <v>1</v>
      </c>
      <c r="W87" t="s">
        <v>24</v>
      </c>
      <c r="X87" t="s">
        <v>28</v>
      </c>
      <c r="Y87">
        <v>0.32800000000000001</v>
      </c>
    </row>
    <row r="88" spans="1:25" x14ac:dyDescent="0.35">
      <c r="A88" s="2">
        <v>44736.525000000001</v>
      </c>
      <c r="B88" s="3">
        <v>32.688000000000002</v>
      </c>
      <c r="C88" s="3">
        <v>31.84</v>
      </c>
      <c r="D88" s="3">
        <v>0.6</v>
      </c>
      <c r="E88" s="3">
        <v>43.06</v>
      </c>
      <c r="F88" s="3">
        <v>0</v>
      </c>
      <c r="G88" s="3">
        <v>32.06</v>
      </c>
      <c r="H88">
        <v>0</v>
      </c>
      <c r="I88">
        <v>64</v>
      </c>
      <c r="J88">
        <v>152</v>
      </c>
      <c r="K88">
        <v>54</v>
      </c>
      <c r="L88">
        <v>2</v>
      </c>
      <c r="M88">
        <v>1</v>
      </c>
      <c r="N88" t="s">
        <v>33</v>
      </c>
      <c r="O88" t="s">
        <v>33</v>
      </c>
      <c r="P88" t="s">
        <v>33</v>
      </c>
      <c r="Q88">
        <v>0</v>
      </c>
      <c r="R88" t="s">
        <v>33</v>
      </c>
      <c r="S88" t="s">
        <v>33</v>
      </c>
      <c r="T88" t="s">
        <v>33</v>
      </c>
      <c r="U88" t="s">
        <v>37</v>
      </c>
      <c r="V88">
        <v>1</v>
      </c>
      <c r="W88" t="s">
        <v>20</v>
      </c>
      <c r="X88" t="s">
        <v>27</v>
      </c>
      <c r="Y88">
        <v>0.45324999999999999</v>
      </c>
    </row>
    <row r="89" spans="1:25" x14ac:dyDescent="0.35">
      <c r="A89" s="2">
        <v>44736.525694444441</v>
      </c>
      <c r="B89" s="3">
        <v>32.688000000000002</v>
      </c>
      <c r="C89" s="3">
        <f>(33+31.762)/2</f>
        <v>32.381</v>
      </c>
      <c r="D89" s="3">
        <f>(0.44+0.9)/2</f>
        <v>0.67</v>
      </c>
      <c r="E89" s="3">
        <f>(43.07+43.81)/2</f>
        <v>43.44</v>
      </c>
      <c r="F89" s="3">
        <v>0.13</v>
      </c>
      <c r="G89" s="3">
        <f>(31.87+33.25)/2</f>
        <v>32.56</v>
      </c>
      <c r="H89">
        <v>0</v>
      </c>
      <c r="I89">
        <v>39</v>
      </c>
      <c r="J89">
        <v>160</v>
      </c>
      <c r="K89">
        <v>65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 t="s">
        <v>31</v>
      </c>
      <c r="V89">
        <v>1</v>
      </c>
      <c r="W89" t="s">
        <v>19</v>
      </c>
      <c r="X89" t="s">
        <v>26</v>
      </c>
      <c r="Y89">
        <v>0.52839999999999998</v>
      </c>
    </row>
    <row r="90" spans="1:25" x14ac:dyDescent="0.35">
      <c r="A90" s="2">
        <v>44736.525694444441</v>
      </c>
      <c r="B90" s="3">
        <v>32.688000000000002</v>
      </c>
      <c r="C90" s="3">
        <f>(32.96+25.85)/2</f>
        <v>29.405000000000001</v>
      </c>
      <c r="D90" s="3">
        <f>(1.69+0.91)/2</f>
        <v>1.3</v>
      </c>
      <c r="E90" s="3">
        <f>(40.86+46.34)/2</f>
        <v>43.6</v>
      </c>
      <c r="F90" s="3">
        <v>0.14000000000000001</v>
      </c>
      <c r="G90" s="3">
        <f>(27.19+33.56)/2</f>
        <v>30.375</v>
      </c>
      <c r="H90">
        <v>0</v>
      </c>
      <c r="I90">
        <v>32</v>
      </c>
      <c r="J90">
        <v>164</v>
      </c>
      <c r="K90">
        <v>73</v>
      </c>
      <c r="L90">
        <v>2</v>
      </c>
      <c r="M90">
        <v>2</v>
      </c>
      <c r="N90">
        <v>2</v>
      </c>
      <c r="O90">
        <v>2</v>
      </c>
      <c r="P90">
        <v>2</v>
      </c>
      <c r="Q90">
        <v>1</v>
      </c>
      <c r="R90">
        <v>1</v>
      </c>
      <c r="S90">
        <v>1</v>
      </c>
      <c r="T90">
        <v>1</v>
      </c>
      <c r="U90" t="s">
        <v>31</v>
      </c>
      <c r="V90">
        <v>1</v>
      </c>
      <c r="W90" t="s">
        <v>22</v>
      </c>
      <c r="X90" t="s">
        <v>26</v>
      </c>
      <c r="Y90">
        <v>0.45324999999999999</v>
      </c>
    </row>
    <row r="91" spans="1:25" x14ac:dyDescent="0.35">
      <c r="A91" s="2">
        <v>44736.527777777781</v>
      </c>
      <c r="B91" s="3">
        <v>32.5</v>
      </c>
      <c r="C91" s="3">
        <f>(33.2+31.96)/2</f>
        <v>32.58</v>
      </c>
      <c r="D91" s="3">
        <f>(0.87+0.44)/2</f>
        <v>0.65500000000000003</v>
      </c>
      <c r="E91" s="3">
        <f>(43.11+43.72)/2</f>
        <v>43.414999999999999</v>
      </c>
      <c r="F91" s="3">
        <v>0.14000000000000001</v>
      </c>
      <c r="G91" s="3">
        <f>(31.94+33.38)/2</f>
        <v>32.660000000000004</v>
      </c>
      <c r="H91">
        <v>0</v>
      </c>
      <c r="I91">
        <v>23</v>
      </c>
      <c r="J91">
        <v>167</v>
      </c>
      <c r="K91">
        <v>64</v>
      </c>
      <c r="L91">
        <v>1</v>
      </c>
      <c r="M91">
        <v>3</v>
      </c>
      <c r="N91">
        <v>3</v>
      </c>
      <c r="O91">
        <v>3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38</v>
      </c>
      <c r="V91">
        <v>1</v>
      </c>
      <c r="W91" t="s">
        <v>19</v>
      </c>
      <c r="X91" t="s">
        <v>28</v>
      </c>
      <c r="Y91">
        <v>0.46994999999999998</v>
      </c>
    </row>
    <row r="92" spans="1:25" x14ac:dyDescent="0.35">
      <c r="A92" s="2">
        <v>44736.529166666667</v>
      </c>
      <c r="B92" s="3">
        <v>32.594000000000001</v>
      </c>
      <c r="C92" s="3">
        <v>31.497499999999999</v>
      </c>
      <c r="D92" s="3">
        <v>0.40100000000000002</v>
      </c>
      <c r="E92" s="3">
        <v>43.92</v>
      </c>
      <c r="F92" s="3">
        <v>0.01</v>
      </c>
      <c r="G92" s="3">
        <v>31.81</v>
      </c>
      <c r="H92">
        <v>0</v>
      </c>
      <c r="I92">
        <v>20</v>
      </c>
      <c r="J92">
        <v>168</v>
      </c>
      <c r="K92">
        <v>54</v>
      </c>
      <c r="L92">
        <v>1</v>
      </c>
      <c r="M92">
        <v>2</v>
      </c>
      <c r="N92">
        <v>2</v>
      </c>
      <c r="O92">
        <v>2</v>
      </c>
      <c r="P92">
        <v>2</v>
      </c>
      <c r="Q92">
        <v>1</v>
      </c>
      <c r="R92">
        <v>1</v>
      </c>
      <c r="S92">
        <v>1</v>
      </c>
      <c r="T92">
        <v>1</v>
      </c>
      <c r="U92" t="s">
        <v>33</v>
      </c>
      <c r="V92">
        <v>1</v>
      </c>
      <c r="W92" t="s">
        <v>24</v>
      </c>
      <c r="X92" t="s">
        <v>28</v>
      </c>
      <c r="Y92">
        <v>0.31130000000000002</v>
      </c>
    </row>
    <row r="93" spans="1:25" x14ac:dyDescent="0.35">
      <c r="A93" s="2">
        <v>44736.529166666667</v>
      </c>
      <c r="B93" s="3">
        <v>32.594000000000001</v>
      </c>
      <c r="C93" s="3">
        <f>(33.4+32.2)/2</f>
        <v>32.799999999999997</v>
      </c>
      <c r="D93" s="3">
        <f>(0.91+0.26)/2</f>
        <v>0.58499999999999996</v>
      </c>
      <c r="E93" s="3">
        <f>(43.85+42.12)/2</f>
        <v>42.984999999999999</v>
      </c>
      <c r="F93" s="3">
        <v>0.18</v>
      </c>
      <c r="G93" s="3">
        <f>(32.06+33.44)/2</f>
        <v>32.75</v>
      </c>
      <c r="H93">
        <v>0</v>
      </c>
      <c r="I93">
        <v>63</v>
      </c>
      <c r="J93">
        <v>163</v>
      </c>
      <c r="K93">
        <v>75</v>
      </c>
      <c r="L93">
        <v>1</v>
      </c>
      <c r="M93">
        <v>2</v>
      </c>
      <c r="N93">
        <v>2</v>
      </c>
      <c r="O93">
        <v>2</v>
      </c>
      <c r="P93">
        <v>2</v>
      </c>
      <c r="Q93">
        <v>1</v>
      </c>
      <c r="R93">
        <v>1</v>
      </c>
      <c r="S93">
        <v>1</v>
      </c>
      <c r="T93">
        <v>1</v>
      </c>
      <c r="U93" t="s">
        <v>30</v>
      </c>
      <c r="V93">
        <v>1</v>
      </c>
      <c r="W93" t="s">
        <v>19</v>
      </c>
      <c r="X93" t="s">
        <v>26</v>
      </c>
      <c r="Y93">
        <v>0.45324999999999999</v>
      </c>
    </row>
    <row r="94" spans="1:25" x14ac:dyDescent="0.35">
      <c r="A94" s="2">
        <v>44736.529652777783</v>
      </c>
      <c r="B94" s="3">
        <v>32.594000000000001</v>
      </c>
      <c r="C94" s="3">
        <v>32.020000000000003</v>
      </c>
      <c r="D94" s="3">
        <v>0.82</v>
      </c>
      <c r="E94" s="3">
        <v>44.36</v>
      </c>
      <c r="F94" s="3">
        <v>0.06</v>
      </c>
      <c r="G94" s="3">
        <v>32.69</v>
      </c>
      <c r="H94">
        <v>0</v>
      </c>
      <c r="I94">
        <v>24</v>
      </c>
      <c r="J94">
        <v>180</v>
      </c>
      <c r="K94">
        <v>70</v>
      </c>
      <c r="L94">
        <v>1</v>
      </c>
      <c r="M94">
        <v>3</v>
      </c>
      <c r="N94">
        <v>3</v>
      </c>
      <c r="O94">
        <v>2</v>
      </c>
      <c r="P94">
        <v>2</v>
      </c>
      <c r="Q94">
        <v>3</v>
      </c>
      <c r="R94">
        <v>3</v>
      </c>
      <c r="S94">
        <v>3</v>
      </c>
      <c r="T94">
        <v>3</v>
      </c>
      <c r="U94" t="s">
        <v>30</v>
      </c>
      <c r="V94">
        <v>1</v>
      </c>
      <c r="W94" t="s">
        <v>20</v>
      </c>
      <c r="X94" t="s">
        <v>25</v>
      </c>
      <c r="Y94">
        <v>0.33634999999999998</v>
      </c>
    </row>
    <row r="95" spans="1:25" x14ac:dyDescent="0.35">
      <c r="A95" s="2">
        <v>44736.536805555559</v>
      </c>
      <c r="B95" s="3">
        <v>33</v>
      </c>
      <c r="C95" s="3">
        <v>32.657499999999999</v>
      </c>
      <c r="D95" s="3">
        <v>0.4788</v>
      </c>
      <c r="E95" s="3">
        <v>42.15</v>
      </c>
      <c r="F95" s="3">
        <v>0.02</v>
      </c>
      <c r="G95" s="3">
        <v>32.44</v>
      </c>
      <c r="H95">
        <v>0</v>
      </c>
      <c r="I95">
        <v>52</v>
      </c>
      <c r="J95">
        <v>160</v>
      </c>
      <c r="K95">
        <v>54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  <c r="U95" t="s">
        <v>39</v>
      </c>
      <c r="V95">
        <v>1</v>
      </c>
      <c r="W95" t="s">
        <v>24</v>
      </c>
      <c r="X95" t="s">
        <v>27</v>
      </c>
      <c r="Y95">
        <v>0.47829999999999989</v>
      </c>
    </row>
    <row r="96" spans="1:25" x14ac:dyDescent="0.35">
      <c r="A96" s="2">
        <v>44736.540277777778</v>
      </c>
      <c r="B96" s="3">
        <v>33.188000000000002</v>
      </c>
      <c r="C96" s="3">
        <f>(32.54+33.78)/2</f>
        <v>33.159999999999997</v>
      </c>
      <c r="D96" s="3">
        <f>(1.48)/2</f>
        <v>0.74</v>
      </c>
      <c r="E96" s="3">
        <f>(45.91+44.65)/2</f>
        <v>45.28</v>
      </c>
      <c r="F96" s="3">
        <v>0.12</v>
      </c>
      <c r="G96" s="3">
        <f>(32.38+33.88)/2</f>
        <v>33.130000000000003</v>
      </c>
      <c r="H96">
        <v>0</v>
      </c>
      <c r="I96">
        <v>24</v>
      </c>
      <c r="J96">
        <v>174</v>
      </c>
      <c r="K96">
        <v>64</v>
      </c>
      <c r="L96">
        <v>2</v>
      </c>
      <c r="M96">
        <v>3</v>
      </c>
      <c r="N96">
        <v>3</v>
      </c>
      <c r="O96">
        <v>3</v>
      </c>
      <c r="P96">
        <v>3</v>
      </c>
      <c r="Q96">
        <v>3</v>
      </c>
      <c r="R96">
        <v>2</v>
      </c>
      <c r="S96">
        <v>2</v>
      </c>
      <c r="T96">
        <v>2</v>
      </c>
      <c r="V96">
        <v>1</v>
      </c>
      <c r="W96" t="s">
        <v>19</v>
      </c>
      <c r="X96" t="s">
        <v>27</v>
      </c>
      <c r="Y96">
        <v>0.32800000000000001</v>
      </c>
    </row>
    <row r="97" spans="1:25" x14ac:dyDescent="0.35">
      <c r="A97" s="2">
        <v>44736.554166666669</v>
      </c>
      <c r="B97" s="3">
        <v>31.905999999999999</v>
      </c>
      <c r="C97" s="3">
        <f>(33.9+32.3)/2</f>
        <v>33.099999999999994</v>
      </c>
      <c r="D97" s="3">
        <f>(1.26+0.17)/2</f>
        <v>0.71499999999999997</v>
      </c>
      <c r="E97" s="3">
        <f>(43.7+45.06)/2</f>
        <v>44.38</v>
      </c>
      <c r="F97" s="3">
        <f>0.23/2</f>
        <v>0.115</v>
      </c>
      <c r="G97" s="3">
        <f>(33.94+32.31)/2</f>
        <v>33.125</v>
      </c>
      <c r="H97">
        <v>0</v>
      </c>
      <c r="I97">
        <v>33</v>
      </c>
      <c r="J97">
        <v>168</v>
      </c>
      <c r="K97">
        <v>58</v>
      </c>
      <c r="L97">
        <v>-1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 t="s">
        <v>29</v>
      </c>
      <c r="V97">
        <v>1</v>
      </c>
      <c r="W97" t="s">
        <v>19</v>
      </c>
      <c r="X97" t="s">
        <v>27</v>
      </c>
      <c r="Y97">
        <v>0.45324999999999999</v>
      </c>
    </row>
    <row r="98" spans="1:25" x14ac:dyDescent="0.35">
      <c r="A98" s="2">
        <v>44736.555555555547</v>
      </c>
      <c r="B98" s="3">
        <v>31.687999999999999</v>
      </c>
      <c r="C98" s="3">
        <f>(33.76+33.69)/2</f>
        <v>33.724999999999994</v>
      </c>
      <c r="D98" s="3">
        <f>(1.39+1.52)/2</f>
        <v>1.4550000000000001</v>
      </c>
      <c r="E98" s="3">
        <f>(40.87+39.39)/2</f>
        <v>40.129999999999995</v>
      </c>
      <c r="F98" s="3">
        <v>0.14000000000000001</v>
      </c>
      <c r="G98" s="3">
        <f>(34.63+35.5)/2</f>
        <v>35.064999999999998</v>
      </c>
      <c r="H98">
        <v>1</v>
      </c>
      <c r="I98">
        <v>21</v>
      </c>
      <c r="J98">
        <v>171</v>
      </c>
      <c r="K98">
        <v>65</v>
      </c>
      <c r="L98">
        <v>1</v>
      </c>
      <c r="M98">
        <v>1</v>
      </c>
      <c r="N98">
        <v>1</v>
      </c>
      <c r="O98">
        <v>1</v>
      </c>
      <c r="P98">
        <v>1</v>
      </c>
      <c r="Q98">
        <v>2</v>
      </c>
      <c r="R98">
        <v>2</v>
      </c>
      <c r="S98">
        <v>2</v>
      </c>
      <c r="T98">
        <v>2</v>
      </c>
      <c r="U98" t="s">
        <v>33</v>
      </c>
      <c r="V98">
        <v>1</v>
      </c>
      <c r="W98" t="s">
        <v>22</v>
      </c>
      <c r="X98" t="s">
        <v>28</v>
      </c>
      <c r="Y98">
        <v>0.47829999999999989</v>
      </c>
    </row>
    <row r="99" spans="1:25" x14ac:dyDescent="0.35">
      <c r="A99" s="2">
        <v>44736.556250000001</v>
      </c>
      <c r="B99" s="3">
        <v>31.687999999999999</v>
      </c>
      <c r="C99" s="3">
        <v>32.299999999999997</v>
      </c>
      <c r="D99" s="3">
        <v>0.69</v>
      </c>
      <c r="E99" s="3">
        <v>43.2</v>
      </c>
      <c r="F99" s="3">
        <v>0.02</v>
      </c>
      <c r="G99" s="3">
        <v>32.94</v>
      </c>
      <c r="H99">
        <v>0</v>
      </c>
      <c r="I99">
        <v>83</v>
      </c>
      <c r="J99">
        <v>171</v>
      </c>
      <c r="K99">
        <v>59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30</v>
      </c>
      <c r="V99">
        <v>1</v>
      </c>
      <c r="W99" t="s">
        <v>20</v>
      </c>
      <c r="X99" t="s">
        <v>25</v>
      </c>
      <c r="Y99">
        <v>0.45324999999999999</v>
      </c>
    </row>
    <row r="100" spans="1:25" x14ac:dyDescent="0.35">
      <c r="A100" s="2">
        <v>44736.556250000001</v>
      </c>
      <c r="B100" s="3">
        <v>31.687999999999999</v>
      </c>
      <c r="C100" s="3">
        <v>32.299999999999997</v>
      </c>
      <c r="D100" s="3">
        <v>0.69</v>
      </c>
      <c r="E100" s="3">
        <v>43.2</v>
      </c>
      <c r="F100" s="3">
        <v>0.02</v>
      </c>
      <c r="G100" s="3">
        <v>32.94</v>
      </c>
      <c r="H100">
        <v>0</v>
      </c>
      <c r="I100">
        <v>29</v>
      </c>
      <c r="J100">
        <v>178</v>
      </c>
      <c r="K100">
        <v>90</v>
      </c>
      <c r="L100">
        <v>-1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 t="s">
        <v>30</v>
      </c>
      <c r="V100">
        <v>1</v>
      </c>
      <c r="W100" t="s">
        <v>20</v>
      </c>
      <c r="X100" t="s">
        <v>25</v>
      </c>
      <c r="Y100">
        <v>0.31130000000000002</v>
      </c>
    </row>
    <row r="101" spans="1:25" x14ac:dyDescent="0.35">
      <c r="A101" s="2">
        <v>44736.556944444441</v>
      </c>
      <c r="B101" s="3">
        <v>31.905999999999999</v>
      </c>
      <c r="C101" s="3">
        <f>(33.55+31.99)/2</f>
        <v>32.769999999999996</v>
      </c>
      <c r="D101" s="3">
        <f>(0.92+0.65)/2</f>
        <v>0.78500000000000003</v>
      </c>
      <c r="E101" s="3">
        <f>(42.85+38.93)/2</f>
        <v>40.89</v>
      </c>
      <c r="F101" s="3">
        <v>0.15</v>
      </c>
      <c r="G101" s="3">
        <f>(34+32.19)/2</f>
        <v>33.094999999999999</v>
      </c>
      <c r="H101">
        <v>0</v>
      </c>
      <c r="I101">
        <v>50</v>
      </c>
      <c r="J101">
        <v>156</v>
      </c>
      <c r="K101">
        <v>80</v>
      </c>
      <c r="L101">
        <v>1</v>
      </c>
      <c r="M101">
        <v>2</v>
      </c>
      <c r="N101">
        <v>2</v>
      </c>
      <c r="O101" t="s">
        <v>33</v>
      </c>
      <c r="P101" t="s">
        <v>33</v>
      </c>
      <c r="Q101">
        <v>2</v>
      </c>
      <c r="R101">
        <v>2</v>
      </c>
      <c r="S101">
        <v>2</v>
      </c>
      <c r="T101">
        <v>1</v>
      </c>
      <c r="U101" t="s">
        <v>33</v>
      </c>
      <c r="V101">
        <v>1</v>
      </c>
      <c r="W101" t="s">
        <v>19</v>
      </c>
      <c r="X101" t="s">
        <v>26</v>
      </c>
      <c r="Y101">
        <v>0.52005000000000001</v>
      </c>
    </row>
    <row r="102" spans="1:25" x14ac:dyDescent="0.35">
      <c r="A102" s="2">
        <v>44736.558333333327</v>
      </c>
      <c r="B102" s="3">
        <v>32.594000000000001</v>
      </c>
      <c r="C102" s="3">
        <f>(31.6+33.54)/2</f>
        <v>32.57</v>
      </c>
      <c r="D102" s="3">
        <f>(1.17+0.96)/2</f>
        <v>1.0649999999999999</v>
      </c>
      <c r="E102" s="3">
        <f>(41.5+43.85)/2</f>
        <v>42.674999999999997</v>
      </c>
      <c r="F102" s="3">
        <v>0.12</v>
      </c>
      <c r="G102" s="3">
        <f>(32.13+33.94)/2</f>
        <v>33.034999999999997</v>
      </c>
      <c r="H102">
        <v>0</v>
      </c>
      <c r="I102">
        <v>42</v>
      </c>
      <c r="J102">
        <v>180</v>
      </c>
      <c r="K102">
        <v>62</v>
      </c>
      <c r="L102">
        <v>1</v>
      </c>
      <c r="M102">
        <v>2</v>
      </c>
      <c r="N102">
        <v>2</v>
      </c>
      <c r="O102">
        <v>2</v>
      </c>
      <c r="P102">
        <v>2</v>
      </c>
      <c r="Q102">
        <v>1</v>
      </c>
      <c r="R102">
        <v>1</v>
      </c>
      <c r="S102">
        <v>1</v>
      </c>
      <c r="T102">
        <v>1</v>
      </c>
      <c r="U102" t="s">
        <v>31</v>
      </c>
      <c r="V102">
        <v>1</v>
      </c>
      <c r="W102" t="s">
        <v>19</v>
      </c>
      <c r="X102" t="s">
        <v>26</v>
      </c>
      <c r="Y102">
        <v>0.45324999999999999</v>
      </c>
    </row>
    <row r="103" spans="1:25" x14ac:dyDescent="0.35">
      <c r="A103" s="2">
        <v>44736.559027777781</v>
      </c>
      <c r="B103" s="3">
        <v>32.813000000000002</v>
      </c>
      <c r="C103" s="3">
        <v>32.71</v>
      </c>
      <c r="D103" s="3">
        <v>0.55000000000000004</v>
      </c>
      <c r="E103" s="3">
        <v>46.26</v>
      </c>
      <c r="F103" s="3">
        <v>0.02</v>
      </c>
      <c r="G103" s="3">
        <v>32.94</v>
      </c>
      <c r="H103">
        <v>0</v>
      </c>
      <c r="I103">
        <v>65</v>
      </c>
      <c r="J103">
        <v>164</v>
      </c>
      <c r="K103">
        <v>50</v>
      </c>
      <c r="L103">
        <v>1</v>
      </c>
      <c r="M103">
        <v>3</v>
      </c>
      <c r="N103" t="s">
        <v>33</v>
      </c>
      <c r="O103" t="s">
        <v>33</v>
      </c>
      <c r="P103" t="s">
        <v>33</v>
      </c>
      <c r="Q103">
        <v>1</v>
      </c>
      <c r="R103">
        <v>1</v>
      </c>
      <c r="S103" t="s">
        <v>33</v>
      </c>
      <c r="T103" t="s">
        <v>33</v>
      </c>
      <c r="U103" t="s">
        <v>31</v>
      </c>
      <c r="V103">
        <v>1</v>
      </c>
      <c r="W103" t="s">
        <v>20</v>
      </c>
      <c r="X103" t="s">
        <v>25</v>
      </c>
      <c r="Y103">
        <v>0.44490000000000002</v>
      </c>
    </row>
    <row r="104" spans="1:25" x14ac:dyDescent="0.35">
      <c r="A104" s="2">
        <v>44736.567372685182</v>
      </c>
      <c r="B104" s="3">
        <v>32.594000000000001</v>
      </c>
      <c r="C104" s="3">
        <v>32.65</v>
      </c>
      <c r="D104" s="3">
        <v>0.47</v>
      </c>
      <c r="E104" s="3">
        <v>47.91</v>
      </c>
      <c r="F104" s="3">
        <v>0.01</v>
      </c>
      <c r="G104" s="3">
        <v>32.81</v>
      </c>
      <c r="H104">
        <v>1</v>
      </c>
      <c r="I104">
        <v>56</v>
      </c>
      <c r="J104">
        <v>185</v>
      </c>
      <c r="K104">
        <v>75</v>
      </c>
      <c r="L104">
        <v>0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2</v>
      </c>
      <c r="T104">
        <v>2</v>
      </c>
      <c r="U104" t="s">
        <v>37</v>
      </c>
      <c r="V104">
        <v>1</v>
      </c>
      <c r="W104" t="s">
        <v>20</v>
      </c>
      <c r="X104" t="s">
        <v>26</v>
      </c>
      <c r="Y104">
        <v>0.56179999999999997</v>
      </c>
    </row>
    <row r="105" spans="1:25" x14ac:dyDescent="0.35">
      <c r="A105" s="2">
        <v>44736.570138888892</v>
      </c>
      <c r="B105" s="3">
        <v>32.094000000000001</v>
      </c>
      <c r="C105" s="3">
        <v>32.36</v>
      </c>
      <c r="D105" s="3">
        <v>0.78800000000000003</v>
      </c>
      <c r="E105" s="3">
        <v>42.4</v>
      </c>
      <c r="F105" s="3">
        <v>0.04</v>
      </c>
      <c r="G105" s="3">
        <v>32.880000000000003</v>
      </c>
      <c r="H105">
        <v>0</v>
      </c>
      <c r="I105">
        <v>21</v>
      </c>
      <c r="J105">
        <v>174</v>
      </c>
      <c r="K105">
        <v>55</v>
      </c>
      <c r="L105">
        <v>1</v>
      </c>
      <c r="M105">
        <v>1</v>
      </c>
      <c r="N105">
        <v>2</v>
      </c>
      <c r="O105">
        <v>2</v>
      </c>
      <c r="P105">
        <v>3</v>
      </c>
      <c r="Q105">
        <v>1</v>
      </c>
      <c r="R105">
        <v>1</v>
      </c>
      <c r="S105">
        <v>1</v>
      </c>
      <c r="T105">
        <v>2</v>
      </c>
      <c r="U105" t="s">
        <v>33</v>
      </c>
      <c r="V105">
        <v>1</v>
      </c>
      <c r="W105" t="s">
        <v>24</v>
      </c>
      <c r="X105" t="s">
        <v>25</v>
      </c>
      <c r="Y105">
        <v>0.32800000000000001</v>
      </c>
    </row>
    <row r="106" spans="1:25" x14ac:dyDescent="0.35">
      <c r="A106" s="2">
        <v>44736.570833333331</v>
      </c>
      <c r="B106" s="3">
        <v>31.812999999999999</v>
      </c>
      <c r="C106" s="3">
        <v>32.700000000000003</v>
      </c>
      <c r="D106" s="3">
        <v>0.43</v>
      </c>
      <c r="E106" s="3">
        <v>42.41</v>
      </c>
      <c r="F106" s="3">
        <v>7.0000000000000007E-2</v>
      </c>
      <c r="G106" s="3">
        <v>32.81</v>
      </c>
      <c r="H106">
        <v>0</v>
      </c>
      <c r="I106">
        <v>11</v>
      </c>
      <c r="J106">
        <v>164</v>
      </c>
      <c r="K106">
        <v>60</v>
      </c>
      <c r="L106">
        <v>0</v>
      </c>
      <c r="M106">
        <v>2</v>
      </c>
      <c r="N106">
        <v>2</v>
      </c>
      <c r="O106">
        <v>1</v>
      </c>
      <c r="P106">
        <v>0</v>
      </c>
      <c r="Q106">
        <v>2</v>
      </c>
      <c r="R106">
        <v>2</v>
      </c>
      <c r="S106">
        <v>2</v>
      </c>
      <c r="T106">
        <v>1</v>
      </c>
      <c r="U106" t="s">
        <v>31</v>
      </c>
      <c r="V106">
        <v>1</v>
      </c>
      <c r="W106" t="s">
        <v>20</v>
      </c>
      <c r="X106" t="s">
        <v>25</v>
      </c>
      <c r="Y106">
        <v>0.32800000000000001</v>
      </c>
    </row>
    <row r="107" spans="1:25" x14ac:dyDescent="0.35">
      <c r="A107" s="2">
        <v>44736.572916666657</v>
      </c>
      <c r="B107" s="3">
        <v>32.188000000000002</v>
      </c>
      <c r="C107" s="3">
        <f>(33.13+34.42)/2</f>
        <v>33.775000000000006</v>
      </c>
      <c r="D107" s="3">
        <f>(0.09+1.08)/2</f>
        <v>0.58500000000000008</v>
      </c>
      <c r="E107" s="3">
        <f>(40.15+41.79)/2</f>
        <v>40.97</v>
      </c>
      <c r="F107" s="3">
        <v>0.16</v>
      </c>
      <c r="G107" s="3">
        <f>(33.06+34.69)/2</f>
        <v>33.875</v>
      </c>
      <c r="H107">
        <v>1</v>
      </c>
      <c r="I107">
        <v>30</v>
      </c>
      <c r="J107">
        <v>175</v>
      </c>
      <c r="K107">
        <v>78</v>
      </c>
      <c r="L107">
        <v>0</v>
      </c>
      <c r="M107">
        <v>1</v>
      </c>
      <c r="N107" t="s">
        <v>33</v>
      </c>
      <c r="O107" t="s">
        <v>33</v>
      </c>
      <c r="P107" t="s">
        <v>33</v>
      </c>
      <c r="Q107">
        <v>0</v>
      </c>
      <c r="R107" t="s">
        <v>33</v>
      </c>
      <c r="S107" t="s">
        <v>33</v>
      </c>
      <c r="T107" t="s">
        <v>33</v>
      </c>
      <c r="U107" t="s">
        <v>30</v>
      </c>
      <c r="V107">
        <v>1</v>
      </c>
      <c r="W107" t="s">
        <v>19</v>
      </c>
      <c r="X107" t="s">
        <v>26</v>
      </c>
      <c r="Y107">
        <v>0.41149999999999998</v>
      </c>
    </row>
    <row r="108" spans="1:25" x14ac:dyDescent="0.35">
      <c r="A108" s="2">
        <v>44736.576388888891</v>
      </c>
      <c r="B108" s="3">
        <v>32.905999999999999</v>
      </c>
      <c r="C108" s="3">
        <v>32.15</v>
      </c>
      <c r="D108" s="3">
        <v>0.86</v>
      </c>
      <c r="E108" s="3">
        <v>42.6</v>
      </c>
      <c r="F108" s="3">
        <v>0</v>
      </c>
      <c r="G108" s="3">
        <v>32.75</v>
      </c>
      <c r="H108">
        <v>1</v>
      </c>
      <c r="I108">
        <v>40</v>
      </c>
      <c r="J108">
        <v>174</v>
      </c>
      <c r="K108">
        <v>48</v>
      </c>
      <c r="L108">
        <v>1</v>
      </c>
      <c r="M108">
        <v>1</v>
      </c>
      <c r="N108">
        <v>0</v>
      </c>
      <c r="O108">
        <v>2</v>
      </c>
      <c r="P108">
        <v>3</v>
      </c>
      <c r="Q108">
        <v>1</v>
      </c>
      <c r="R108">
        <v>0</v>
      </c>
      <c r="S108">
        <v>1</v>
      </c>
      <c r="T108">
        <v>2</v>
      </c>
      <c r="U108" t="s">
        <v>38</v>
      </c>
      <c r="V108">
        <v>1</v>
      </c>
      <c r="W108" t="s">
        <v>20</v>
      </c>
      <c r="X108" t="s">
        <v>26</v>
      </c>
      <c r="Y108">
        <v>0.32800000000000001</v>
      </c>
    </row>
    <row r="109" spans="1:25" x14ac:dyDescent="0.35">
      <c r="A109" s="2">
        <v>44736.577141203707</v>
      </c>
      <c r="B109" s="3">
        <v>33.094000000000001</v>
      </c>
      <c r="C109" s="3">
        <v>32.112000000000002</v>
      </c>
      <c r="D109" s="3">
        <v>1.07</v>
      </c>
      <c r="E109" s="3">
        <v>42.81</v>
      </c>
      <c r="F109" s="3">
        <v>0.02</v>
      </c>
      <c r="G109" s="3">
        <v>32.75</v>
      </c>
      <c r="H109">
        <v>0</v>
      </c>
      <c r="I109">
        <v>34</v>
      </c>
      <c r="J109">
        <v>163</v>
      </c>
      <c r="K109">
        <v>61</v>
      </c>
      <c r="L109">
        <v>0</v>
      </c>
      <c r="M109">
        <v>2</v>
      </c>
      <c r="N109">
        <v>2</v>
      </c>
      <c r="O109">
        <v>2</v>
      </c>
      <c r="P109">
        <v>3</v>
      </c>
      <c r="Q109">
        <v>2</v>
      </c>
      <c r="R109">
        <v>2</v>
      </c>
      <c r="S109">
        <v>2</v>
      </c>
      <c r="T109">
        <v>3</v>
      </c>
      <c r="U109" t="s">
        <v>31</v>
      </c>
      <c r="V109">
        <v>1</v>
      </c>
      <c r="W109" t="s">
        <v>20</v>
      </c>
      <c r="X109" t="s">
        <v>26</v>
      </c>
      <c r="Y109">
        <v>0.31130000000000002</v>
      </c>
    </row>
    <row r="110" spans="1:25" x14ac:dyDescent="0.35">
      <c r="A110" s="2">
        <v>44736.580555555563</v>
      </c>
      <c r="B110" s="3">
        <v>33.594000000000001</v>
      </c>
      <c r="C110" s="3">
        <f>(33.75+33.58)/2</f>
        <v>33.664999999999999</v>
      </c>
      <c r="D110" s="3">
        <f>(1.99+0.95)/2</f>
        <v>1.47</v>
      </c>
      <c r="E110" s="3">
        <f>(41.22+38.58)/2</f>
        <v>39.9</v>
      </c>
      <c r="F110" s="3">
        <v>0.16</v>
      </c>
      <c r="G110" s="3">
        <f>(35.88+34.75)/2</f>
        <v>35.314999999999998</v>
      </c>
      <c r="H110">
        <v>1</v>
      </c>
      <c r="I110">
        <v>26</v>
      </c>
      <c r="J110">
        <v>182</v>
      </c>
      <c r="K110">
        <v>57</v>
      </c>
      <c r="L110">
        <v>1</v>
      </c>
      <c r="M110">
        <v>2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 t="s">
        <v>33</v>
      </c>
      <c r="V110">
        <v>1</v>
      </c>
      <c r="W110" t="s">
        <v>22</v>
      </c>
      <c r="X110" t="s">
        <v>27</v>
      </c>
      <c r="Y110">
        <v>0.6119</v>
      </c>
    </row>
    <row r="111" spans="1:25" x14ac:dyDescent="0.35">
      <c r="A111" s="2">
        <v>44736.580555555563</v>
      </c>
      <c r="B111" s="3">
        <v>33.594000000000001</v>
      </c>
      <c r="C111" s="3">
        <f>(33.75+33.58)/2</f>
        <v>33.664999999999999</v>
      </c>
      <c r="D111" s="3">
        <f>(1.99+0.95)/2</f>
        <v>1.47</v>
      </c>
      <c r="E111" s="3">
        <f>(41.22+38.58)/2</f>
        <v>39.9</v>
      </c>
      <c r="F111" s="3">
        <v>0.16</v>
      </c>
      <c r="G111" s="3">
        <f>(35.88+34.75)/2</f>
        <v>35.314999999999998</v>
      </c>
      <c r="H111">
        <v>0</v>
      </c>
      <c r="I111">
        <v>27</v>
      </c>
      <c r="J111">
        <v>163</v>
      </c>
      <c r="K111">
        <v>60</v>
      </c>
      <c r="L111">
        <v>1</v>
      </c>
      <c r="M111">
        <v>2</v>
      </c>
      <c r="N111">
        <v>2</v>
      </c>
      <c r="O111">
        <v>2</v>
      </c>
      <c r="P111">
        <v>2</v>
      </c>
      <c r="Q111">
        <v>1</v>
      </c>
      <c r="R111">
        <v>1</v>
      </c>
      <c r="S111">
        <v>1</v>
      </c>
      <c r="T111">
        <v>1</v>
      </c>
      <c r="U111" t="s">
        <v>33</v>
      </c>
      <c r="V111">
        <v>1</v>
      </c>
      <c r="W111" t="s">
        <v>22</v>
      </c>
      <c r="X111" t="s">
        <v>25</v>
      </c>
      <c r="Y111">
        <v>0.42820000000000003</v>
      </c>
    </row>
    <row r="112" spans="1:25" x14ac:dyDescent="0.35">
      <c r="A112" s="2">
        <v>44736.580555555563</v>
      </c>
      <c r="B112" s="3">
        <v>33.594000000000001</v>
      </c>
      <c r="C112" s="3">
        <f>(33.75+33.58)/2</f>
        <v>33.664999999999999</v>
      </c>
      <c r="D112" s="3">
        <f>(1.99+0.95)/2</f>
        <v>1.47</v>
      </c>
      <c r="E112" s="3">
        <f>(41.22+38.58)/2</f>
        <v>39.9</v>
      </c>
      <c r="F112" s="3">
        <v>0.16</v>
      </c>
      <c r="G112" s="3">
        <f>(35.88+34.75)/2</f>
        <v>35.314999999999998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 t="s">
        <v>41</v>
      </c>
      <c r="V112">
        <v>1</v>
      </c>
      <c r="W112" t="s">
        <v>22</v>
      </c>
      <c r="X112" t="s">
        <v>26</v>
      </c>
      <c r="Y112">
        <v>0.43654999999999999</v>
      </c>
    </row>
    <row r="113" spans="1:25" x14ac:dyDescent="0.35">
      <c r="A113" s="2">
        <v>44736.583252314813</v>
      </c>
      <c r="B113" s="3">
        <v>33.094000000000001</v>
      </c>
      <c r="C113" s="3">
        <f>(33.964+34.014)/2</f>
        <v>33.989000000000004</v>
      </c>
      <c r="D113" s="3">
        <f>(1.04+1.82)/2</f>
        <v>1.4300000000000002</v>
      </c>
      <c r="E113" s="3">
        <f>(36.21+40.71)/2</f>
        <v>38.46</v>
      </c>
      <c r="F113" s="3">
        <v>0.15</v>
      </c>
      <c r="G113" s="3">
        <f>(35.94+34.81)/2</f>
        <v>35.375</v>
      </c>
      <c r="H113">
        <v>0</v>
      </c>
      <c r="I113">
        <v>18</v>
      </c>
      <c r="J113">
        <v>164</v>
      </c>
      <c r="K113">
        <v>58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3</v>
      </c>
      <c r="S113">
        <v>3</v>
      </c>
      <c r="T113">
        <v>3</v>
      </c>
      <c r="V113">
        <v>1</v>
      </c>
      <c r="W113" t="s">
        <v>22</v>
      </c>
      <c r="X113" t="s">
        <v>26</v>
      </c>
      <c r="Y113">
        <v>0.45324999999999999</v>
      </c>
    </row>
    <row r="114" spans="1:25" x14ac:dyDescent="0.35">
      <c r="A114" s="2">
        <v>44736.583333333343</v>
      </c>
      <c r="B114" s="3">
        <v>33</v>
      </c>
      <c r="C114" s="3">
        <v>32.03</v>
      </c>
      <c r="D114" s="3">
        <v>0.7</v>
      </c>
      <c r="E114" s="3">
        <v>41.81</v>
      </c>
      <c r="F114" s="3">
        <v>0.02</v>
      </c>
      <c r="G114" s="3">
        <v>32.56</v>
      </c>
      <c r="H114">
        <v>0</v>
      </c>
      <c r="I114">
        <v>41</v>
      </c>
      <c r="J114">
        <v>165</v>
      </c>
      <c r="K114">
        <v>0</v>
      </c>
      <c r="L114">
        <v>1</v>
      </c>
      <c r="M114">
        <v>1</v>
      </c>
      <c r="N114">
        <v>2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 t="s">
        <v>33</v>
      </c>
      <c r="V114">
        <v>1</v>
      </c>
      <c r="W114" t="s">
        <v>23</v>
      </c>
      <c r="X114" t="s">
        <v>25</v>
      </c>
      <c r="Y114">
        <v>0.39479999999999998</v>
      </c>
    </row>
    <row r="115" spans="1:25" x14ac:dyDescent="0.35">
      <c r="A115" s="2">
        <v>44736.587500000001</v>
      </c>
      <c r="B115" s="3">
        <v>31.905999999999999</v>
      </c>
      <c r="C115" s="3">
        <f>(32.08+33.66)/2</f>
        <v>32.869999999999997</v>
      </c>
      <c r="D115" s="3">
        <f>(0.96+1.39)/2</f>
        <v>1.1749999999999998</v>
      </c>
      <c r="E115" s="3">
        <f>(39.17+38.8)/2</f>
        <v>38.984999999999999</v>
      </c>
      <c r="F115" s="3">
        <f>0.39/2</f>
        <v>0.19500000000000001</v>
      </c>
      <c r="G115" s="3">
        <f>(32.5+34.5)/2</f>
        <v>33.5</v>
      </c>
      <c r="H115">
        <v>1</v>
      </c>
      <c r="I115">
        <v>24</v>
      </c>
      <c r="J115">
        <v>170</v>
      </c>
      <c r="K115">
        <v>70</v>
      </c>
      <c r="L115">
        <v>1</v>
      </c>
      <c r="M115">
        <v>1</v>
      </c>
      <c r="N115">
        <v>2</v>
      </c>
      <c r="O115">
        <v>0</v>
      </c>
      <c r="P115">
        <v>3</v>
      </c>
      <c r="Q115">
        <v>1</v>
      </c>
      <c r="R115">
        <v>0</v>
      </c>
      <c r="S115">
        <v>1</v>
      </c>
      <c r="T115">
        <v>2</v>
      </c>
      <c r="U115" t="s">
        <v>30</v>
      </c>
      <c r="V115">
        <v>1</v>
      </c>
      <c r="W115" t="s">
        <v>19</v>
      </c>
      <c r="X115" t="s">
        <v>25</v>
      </c>
      <c r="Y115">
        <v>0.495</v>
      </c>
    </row>
    <row r="116" spans="1:25" x14ac:dyDescent="0.35">
      <c r="B116" s="3"/>
      <c r="C116" s="3"/>
      <c r="D116" s="3"/>
      <c r="E116" s="3"/>
      <c r="F116" s="3"/>
      <c r="G116" s="3"/>
    </row>
    <row r="117" spans="1:25" x14ac:dyDescent="0.35">
      <c r="B117" s="3"/>
      <c r="C117" s="3"/>
      <c r="D117" s="3"/>
      <c r="E117" s="3"/>
      <c r="F117" s="3"/>
      <c r="G117" s="3"/>
    </row>
    <row r="118" spans="1:25" x14ac:dyDescent="0.35">
      <c r="B118" s="3"/>
      <c r="C118" s="3"/>
      <c r="D118" s="3"/>
      <c r="E118" s="3"/>
      <c r="F118" s="3"/>
      <c r="G118" s="3"/>
    </row>
    <row r="119" spans="1:25" x14ac:dyDescent="0.35">
      <c r="B119" s="3"/>
      <c r="C119" s="3"/>
      <c r="D119" s="3"/>
      <c r="E119" s="3"/>
      <c r="F119" s="3"/>
      <c r="G119" s="3"/>
    </row>
    <row r="120" spans="1:25" x14ac:dyDescent="0.35">
      <c r="B120" s="3"/>
      <c r="C120" s="3"/>
      <c r="D120" s="3"/>
      <c r="E120" s="3"/>
      <c r="F120" s="3"/>
      <c r="G120" s="3"/>
    </row>
    <row r="121" spans="1:25" x14ac:dyDescent="0.35">
      <c r="B121" s="3"/>
      <c r="C121" s="3"/>
      <c r="D121" s="3"/>
      <c r="E121" s="3"/>
      <c r="F121" s="3"/>
      <c r="G121" s="3"/>
    </row>
    <row r="122" spans="1:25" x14ac:dyDescent="0.35">
      <c r="B122" s="3"/>
      <c r="C122" s="3"/>
      <c r="D122" s="3"/>
      <c r="E122" s="3"/>
      <c r="F122" s="3"/>
      <c r="G122" s="3"/>
    </row>
    <row r="123" spans="1:25" x14ac:dyDescent="0.35">
      <c r="B123" s="3"/>
      <c r="C123" s="3"/>
      <c r="D123" s="3"/>
      <c r="E123" s="3"/>
      <c r="F123" s="3"/>
      <c r="G123" s="3"/>
    </row>
    <row r="124" spans="1:25" x14ac:dyDescent="0.35">
      <c r="B124" s="3"/>
      <c r="C124" s="3"/>
      <c r="D124" s="3"/>
      <c r="E124" s="3"/>
      <c r="F124" s="3"/>
      <c r="G124" s="3"/>
    </row>
    <row r="125" spans="1:25" x14ac:dyDescent="0.35">
      <c r="B125" s="3"/>
      <c r="C125" s="3"/>
      <c r="D125" s="3"/>
      <c r="E125" s="3"/>
      <c r="F125" s="3"/>
      <c r="G125" s="3"/>
    </row>
    <row r="126" spans="1:25" x14ac:dyDescent="0.35">
      <c r="B126" s="3"/>
      <c r="C126" s="3"/>
      <c r="D126" s="3"/>
      <c r="E126" s="3"/>
      <c r="F126" s="3"/>
      <c r="G126" s="3"/>
    </row>
    <row r="127" spans="1:25" x14ac:dyDescent="0.35">
      <c r="B127" s="3"/>
      <c r="C127" s="3"/>
      <c r="D127" s="3"/>
      <c r="E127" s="3"/>
      <c r="F127" s="3"/>
      <c r="G127" s="3"/>
    </row>
    <row r="128" spans="1:25" x14ac:dyDescent="0.35">
      <c r="B128" s="3"/>
      <c r="C128" s="3"/>
      <c r="D128" s="3"/>
      <c r="E128" s="3"/>
      <c r="F128" s="3"/>
      <c r="G128" s="3"/>
    </row>
    <row r="129" spans="2:7" x14ac:dyDescent="0.35">
      <c r="B129" s="3"/>
      <c r="C129" s="3"/>
      <c r="D129" s="3"/>
      <c r="E129" s="3"/>
      <c r="F129" s="3"/>
      <c r="G12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Cigarini</cp:lastModifiedBy>
  <dcterms:created xsi:type="dcterms:W3CDTF">2022-06-29T11:42:39Z</dcterms:created>
  <dcterms:modified xsi:type="dcterms:W3CDTF">2022-07-05T10:05:40Z</dcterms:modified>
</cp:coreProperties>
</file>