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DU\MSBA courses\Q2-Optimization\Assignments\Portfolio 1\"/>
    </mc:Choice>
  </mc:AlternateContent>
  <xr:revisionPtr revIDLastSave="0" documentId="13_ncr:1_{A332BF4E-8D50-4264-AAB5-FA5E070F5681}" xr6:coauthVersionLast="47" xr6:coauthVersionMax="47" xr10:uidLastSave="{00000000-0000-0000-0000-000000000000}"/>
  <bookViews>
    <workbookView xWindow="-108" yWindow="-108" windowWidth="23256" windowHeight="13896" firstSheet="13" activeTab="17" xr2:uid="{BCEC8C74-817E-4421-9B38-4143307CDDBE}"/>
  </bookViews>
  <sheets>
    <sheet name="Manufacturing and Distribution" sheetId="10" r:id="rId1"/>
    <sheet name="Investment Portfolios" sheetId="6" r:id="rId2"/>
    <sheet name="Project Selection" sheetId="7" r:id="rId3"/>
    <sheet name="Production Scheduling" sheetId="8" r:id="rId4"/>
    <sheet name="Inventory Management" sheetId="18" r:id="rId5"/>
    <sheet name="Assembly Line Equipment" sheetId="9" r:id="rId6"/>
    <sheet name="Lockbox Problem-Linear" sheetId="31" r:id="rId7"/>
    <sheet name="Inventory Depletion" sheetId="19" r:id="rId8"/>
    <sheet name="Snow Removal" sheetId="20" r:id="rId9"/>
    <sheet name="Golf Bags" sheetId="2" r:id="rId10"/>
    <sheet name="Bike Frames" sheetId="5" r:id="rId11"/>
    <sheet name="Crushing Rocks" sheetId="11" r:id="rId12"/>
    <sheet name="Crushing More Rocks" sheetId="12" r:id="rId13"/>
    <sheet name="Hospital Scheduling" sheetId="13" r:id="rId14"/>
    <sheet name="Butter" sheetId="14" r:id="rId15"/>
    <sheet name="Pet Food" sheetId="15" r:id="rId16"/>
    <sheet name="Lockbox Problem-Non-Linear" sheetId="16" r:id="rId17"/>
    <sheet name="Farming" sheetId="17" r:id="rId18"/>
    <sheet name="Union Busting" sheetId="21" r:id="rId19"/>
  </sheets>
  <definedNames>
    <definedName name="solver_adj" localSheetId="5" hidden="1">'Assembly Line Equipment'!$C$19:$E$19</definedName>
    <definedName name="solver_adj" localSheetId="10" hidden="1">'Bike Frames'!$C$16:$D$16</definedName>
    <definedName name="solver_adj" localSheetId="14" hidden="1">Butter!$C$12:$D$12</definedName>
    <definedName name="solver_adj" localSheetId="12" hidden="1">'Crushing More Rocks'!$C$20:$E$20</definedName>
    <definedName name="solver_adj" localSheetId="11" hidden="1">'Crushing Rocks'!$C$16:$D$16</definedName>
    <definedName name="solver_adj" localSheetId="17" hidden="1">Farming!$D$21:$F$23</definedName>
    <definedName name="solver_adj" localSheetId="9" hidden="1">'Golf Bags'!$C$15:$D$15</definedName>
    <definedName name="solver_adj" localSheetId="13" hidden="1">'Hospital Scheduling'!$C$21:$E$21</definedName>
    <definedName name="solver_adj" localSheetId="7" hidden="1">'Inventory Depletion'!$D$23:$E$23</definedName>
    <definedName name="solver_adj" localSheetId="4" hidden="1">'Inventory Management'!$C$26:$D$26</definedName>
    <definedName name="solver_adj" localSheetId="1" hidden="1">'Investment Portfolios'!$C$13:$E$13</definedName>
    <definedName name="solver_adj" localSheetId="6" hidden="1">'Lockbox Problem-Linear'!$E$49:$J$55,'Lockbox Problem-Linear'!$E$70:$J$70</definedName>
    <definedName name="solver_adj" localSheetId="16" hidden="1">'Lockbox Problem-Non-Linear'!$E$49:$J$55</definedName>
    <definedName name="solver_adj" localSheetId="0" hidden="1">'Manufacturing and Distribution'!$D$34:$J$37</definedName>
    <definedName name="solver_adj" localSheetId="15" hidden="1">'Pet Food'!$C$33:$H$33</definedName>
    <definedName name="solver_adj" localSheetId="3" hidden="1">'Production Scheduling'!$C$18:$D$18</definedName>
    <definedName name="solver_adj" localSheetId="2" hidden="1">'Project Selection'!$C$34:$Q$34</definedName>
    <definedName name="solver_adj" localSheetId="8" hidden="1">'Snow Removal'!$D$31:$H$40</definedName>
    <definedName name="solver_adj" localSheetId="18" hidden="1">'Union Busting'!$D$6:$H$15</definedName>
    <definedName name="solver_cvg" localSheetId="5" hidden="1">0.0001</definedName>
    <definedName name="solver_cvg" localSheetId="10" hidden="1">0.0001</definedName>
    <definedName name="solver_cvg" localSheetId="14" hidden="1">0.0001</definedName>
    <definedName name="solver_cvg" localSheetId="12" hidden="1">0.0001</definedName>
    <definedName name="solver_cvg" localSheetId="11" hidden="1">0.0001</definedName>
    <definedName name="solver_cvg" localSheetId="17" hidden="1">0.0001</definedName>
    <definedName name="solver_cvg" localSheetId="9" hidden="1">0.0001</definedName>
    <definedName name="solver_cvg" localSheetId="13" hidden="1">0.0001</definedName>
    <definedName name="solver_cvg" localSheetId="7" hidden="1">0.0001</definedName>
    <definedName name="solver_cvg" localSheetId="4" hidden="1">0.0001</definedName>
    <definedName name="solver_cvg" localSheetId="1" hidden="1">0.0001</definedName>
    <definedName name="solver_cvg" localSheetId="6" hidden="1">0.0001</definedName>
    <definedName name="solver_cvg" localSheetId="16" hidden="1">0.0001</definedName>
    <definedName name="solver_cvg" localSheetId="0" hidden="1">0.0001</definedName>
    <definedName name="solver_cvg" localSheetId="15" hidden="1">0.0001</definedName>
    <definedName name="solver_cvg" localSheetId="3" hidden="1">0.0001</definedName>
    <definedName name="solver_cvg" localSheetId="2" hidden="1">0.0001</definedName>
    <definedName name="solver_cvg" localSheetId="8" hidden="1">0.0001</definedName>
    <definedName name="solver_cvg" localSheetId="18" hidden="1">0.0001</definedName>
    <definedName name="solver_drv" localSheetId="5" hidden="1">2</definedName>
    <definedName name="solver_drv" localSheetId="10" hidden="1">2</definedName>
    <definedName name="solver_drv" localSheetId="14" hidden="1">1</definedName>
    <definedName name="solver_drv" localSheetId="12" hidden="1">1</definedName>
    <definedName name="solver_drv" localSheetId="11" hidden="1">1</definedName>
    <definedName name="solver_drv" localSheetId="17" hidden="1">2</definedName>
    <definedName name="solver_drv" localSheetId="9" hidden="1">1</definedName>
    <definedName name="solver_drv" localSheetId="13" hidden="1">1</definedName>
    <definedName name="solver_drv" localSheetId="7" hidden="1">1</definedName>
    <definedName name="solver_drv" localSheetId="4" hidden="1">2</definedName>
    <definedName name="solver_drv" localSheetId="1" hidden="1">2</definedName>
    <definedName name="solver_drv" localSheetId="6" hidden="1">1</definedName>
    <definedName name="solver_drv" localSheetId="16" hidden="1">1</definedName>
    <definedName name="solver_drv" localSheetId="0" hidden="1">1</definedName>
    <definedName name="solver_drv" localSheetId="15" hidden="1">2</definedName>
    <definedName name="solver_drv" localSheetId="3" hidden="1">2</definedName>
    <definedName name="solver_drv" localSheetId="2" hidden="1">1</definedName>
    <definedName name="solver_drv" localSheetId="8" hidden="1">2</definedName>
    <definedName name="solver_drv" localSheetId="18" hidden="1">1</definedName>
    <definedName name="solver_eng" localSheetId="5" hidden="1">2</definedName>
    <definedName name="solver_eng" localSheetId="10" hidden="1">2</definedName>
    <definedName name="solver_eng" localSheetId="14" hidden="1">2</definedName>
    <definedName name="solver_eng" localSheetId="12" hidden="1">2</definedName>
    <definedName name="solver_eng" localSheetId="11" hidden="1">2</definedName>
    <definedName name="solver_eng" localSheetId="17" hidden="1">2</definedName>
    <definedName name="solver_eng" localSheetId="9" hidden="1">2</definedName>
    <definedName name="solver_eng" localSheetId="13" hidden="1">2</definedName>
    <definedName name="solver_eng" localSheetId="7" hidden="1">2</definedName>
    <definedName name="solver_eng" localSheetId="4" hidden="1">1</definedName>
    <definedName name="solver_eng" localSheetId="1" hidden="1">2</definedName>
    <definedName name="solver_eng" localSheetId="6" hidden="1">2</definedName>
    <definedName name="solver_eng" localSheetId="16" hidden="1">1</definedName>
    <definedName name="solver_eng" localSheetId="0" hidden="1">2</definedName>
    <definedName name="solver_eng" localSheetId="15" hidden="1">2</definedName>
    <definedName name="solver_eng" localSheetId="3" hidden="1">2</definedName>
    <definedName name="solver_eng" localSheetId="2" hidden="1">2</definedName>
    <definedName name="solver_eng" localSheetId="8" hidden="1">2</definedName>
    <definedName name="solver_eng" localSheetId="18" hidden="1">2</definedName>
    <definedName name="solver_est" localSheetId="5" hidden="1">1</definedName>
    <definedName name="solver_est" localSheetId="10" hidden="1">1</definedName>
    <definedName name="solver_est" localSheetId="14" hidden="1">1</definedName>
    <definedName name="solver_est" localSheetId="12" hidden="1">1</definedName>
    <definedName name="solver_est" localSheetId="11" hidden="1">1</definedName>
    <definedName name="solver_est" localSheetId="17" hidden="1">1</definedName>
    <definedName name="solver_est" localSheetId="9" hidden="1">1</definedName>
    <definedName name="solver_est" localSheetId="13" hidden="1">1</definedName>
    <definedName name="solver_est" localSheetId="7" hidden="1">1</definedName>
    <definedName name="solver_est" localSheetId="4" hidden="1">1</definedName>
    <definedName name="solver_est" localSheetId="1" hidden="1">1</definedName>
    <definedName name="solver_est" localSheetId="6" hidden="1">1</definedName>
    <definedName name="solver_est" localSheetId="16" hidden="1">1</definedName>
    <definedName name="solver_est" localSheetId="0" hidden="1">1</definedName>
    <definedName name="solver_est" localSheetId="15" hidden="1">1</definedName>
    <definedName name="solver_est" localSheetId="3" hidden="1">1</definedName>
    <definedName name="solver_est" localSheetId="2" hidden="1">1</definedName>
    <definedName name="solver_est" localSheetId="8" hidden="1">1</definedName>
    <definedName name="solver_est" localSheetId="18" hidden="1">1</definedName>
    <definedName name="solver_itr" localSheetId="5" hidden="1">2147483647</definedName>
    <definedName name="solver_itr" localSheetId="10" hidden="1">2147483647</definedName>
    <definedName name="solver_itr" localSheetId="14" hidden="1">2147483647</definedName>
    <definedName name="solver_itr" localSheetId="12" hidden="1">2147483647</definedName>
    <definedName name="solver_itr" localSheetId="11" hidden="1">2147483647</definedName>
    <definedName name="solver_itr" localSheetId="17" hidden="1">2147483647</definedName>
    <definedName name="solver_itr" localSheetId="9" hidden="1">2147483647</definedName>
    <definedName name="solver_itr" localSheetId="13" hidden="1">2147483647</definedName>
    <definedName name="solver_itr" localSheetId="7" hidden="1">2147483647</definedName>
    <definedName name="solver_itr" localSheetId="4" hidden="1">2147483647</definedName>
    <definedName name="solver_itr" localSheetId="1" hidden="1">2147483647</definedName>
    <definedName name="solver_itr" localSheetId="6" hidden="1">2147483647</definedName>
    <definedName name="solver_itr" localSheetId="16" hidden="1">2147483647</definedName>
    <definedName name="solver_itr" localSheetId="0" hidden="1">2147483647</definedName>
    <definedName name="solver_itr" localSheetId="15" hidden="1">2147483647</definedName>
    <definedName name="solver_itr" localSheetId="3" hidden="1">2147483647</definedName>
    <definedName name="solver_itr" localSheetId="2" hidden="1">2147483647</definedName>
    <definedName name="solver_itr" localSheetId="8" hidden="1">2147483647</definedName>
    <definedName name="solver_itr" localSheetId="18" hidden="1">2147483647</definedName>
    <definedName name="solver_lhs1" localSheetId="5" hidden="1">'Assembly Line Equipment'!$C$19:$E$19</definedName>
    <definedName name="solver_lhs1" localSheetId="10" hidden="1">'Bike Frames'!$E$16</definedName>
    <definedName name="solver_lhs1" localSheetId="14" hidden="1">Butter!$C$12:$D$12</definedName>
    <definedName name="solver_lhs1" localSheetId="12" hidden="1">'Crushing More Rocks'!$C$20:$E$20</definedName>
    <definedName name="solver_lhs1" localSheetId="11" hidden="1">'Crushing Rocks'!$E$22:$E$23</definedName>
    <definedName name="solver_lhs1" localSheetId="17" hidden="1">Farming!$D$24:$F$24</definedName>
    <definedName name="solver_lhs1" localSheetId="9" hidden="1">'Golf Bags'!$C$15:$D$15</definedName>
    <definedName name="solver_lhs1" localSheetId="13" hidden="1">'Hospital Scheduling'!$C$21:$E$21</definedName>
    <definedName name="solver_lhs1" localSheetId="7" hidden="1">'Inventory Depletion'!$D$23:$E$23</definedName>
    <definedName name="solver_lhs1" localSheetId="4" hidden="1">'Inventory Management'!$C$26:$D$26</definedName>
    <definedName name="solver_lhs1" localSheetId="1" hidden="1">'Investment Portfolios'!$C$13</definedName>
    <definedName name="solver_lhs1" localSheetId="6" hidden="1">'Lockbox Problem-Linear'!$E$49:$J$49</definedName>
    <definedName name="solver_lhs1" localSheetId="16" hidden="1">'Lockbox Problem-Non-Linear'!$E$49:$J$55</definedName>
    <definedName name="solver_lhs1" localSheetId="0" hidden="1">'Manufacturing and Distribution'!$D$38:$J$38</definedName>
    <definedName name="solver_lhs1" localSheetId="15" hidden="1">'Pet Food'!$D$51:$D$55</definedName>
    <definedName name="solver_lhs1" localSheetId="3" hidden="1">'Production Scheduling'!$C$18:$D$18</definedName>
    <definedName name="solver_lhs1" localSheetId="2" hidden="1">'Project Selection'!$C$34:$Q$34</definedName>
    <definedName name="solver_lhs1" localSheetId="8" hidden="1">'Snow Removal'!$D$31:$H$40</definedName>
    <definedName name="solver_lhs1" localSheetId="18" hidden="1">'Union Busting'!$D$16:$H$16</definedName>
    <definedName name="solver_lhs10" localSheetId="6" hidden="1">'Lockbox Problem-Linear'!$K$49:$K$55</definedName>
    <definedName name="solver_lhs2" localSheetId="5" hidden="1">'Assembly Line Equipment'!$F$24:$F$28</definedName>
    <definedName name="solver_lhs2" localSheetId="10" hidden="1">'Bike Frames'!$E$21</definedName>
    <definedName name="solver_lhs2" localSheetId="14" hidden="1">Butter!$D$12</definedName>
    <definedName name="solver_lhs2" localSheetId="12" hidden="1">'Crushing More Rocks'!$D$20</definedName>
    <definedName name="solver_lhs2" localSheetId="11" hidden="1">'Crushing Rocks'!$E$23</definedName>
    <definedName name="solver_lhs2" localSheetId="17" hidden="1">Farming!$D$35:$D$37</definedName>
    <definedName name="solver_lhs2" localSheetId="9" hidden="1">'Golf Bags'!$E$19:$E$22</definedName>
    <definedName name="solver_lhs2" localSheetId="13" hidden="1">'Hospital Scheduling'!$F$29:$F$30</definedName>
    <definedName name="solver_lhs2" localSheetId="7" hidden="1">'Inventory Depletion'!$F$30:$F$32</definedName>
    <definedName name="solver_lhs2" localSheetId="4" hidden="1">'Inventory Management'!$H$36:$H$42</definedName>
    <definedName name="solver_lhs2" localSheetId="1" hidden="1">'Investment Portfolios'!$D$13</definedName>
    <definedName name="solver_lhs2" localSheetId="6" hidden="1">'Lockbox Problem-Linear'!$E$49:$J$55</definedName>
    <definedName name="solver_lhs2" localSheetId="16" hidden="1">'Lockbox Problem-Non-Linear'!$K$49:$K$55</definedName>
    <definedName name="solver_lhs2" localSheetId="0" hidden="1">'Manufacturing and Distribution'!$K$34:$K$37</definedName>
    <definedName name="solver_lhs2" localSheetId="15" hidden="1">'Pet Food'!$E$40:$E$41</definedName>
    <definedName name="solver_lhs2" localSheetId="3" hidden="1">'Production Scheduling'!$C$21</definedName>
    <definedName name="solver_lhs2" localSheetId="2" hidden="1">'Project Selection'!$D$38:$D$42</definedName>
    <definedName name="solver_lhs2" localSheetId="8" hidden="1">'Snow Removal'!$D$71:$H$71</definedName>
    <definedName name="solver_lhs2" localSheetId="18" hidden="1">'Union Busting'!$I$6:$I$15</definedName>
    <definedName name="solver_lhs3" localSheetId="10" hidden="1">'Bike Frames'!$E$22</definedName>
    <definedName name="solver_lhs3" localSheetId="14" hidden="1">Butter!$E$17:$E$18</definedName>
    <definedName name="solver_lhs3" localSheetId="12" hidden="1">'Crushing More Rocks'!$F$25:$F$28</definedName>
    <definedName name="solver_lhs3" localSheetId="17" hidden="1">Farming!$G$40:$G$42</definedName>
    <definedName name="solver_lhs3" localSheetId="4" hidden="1">'Inventory Management'!$L$36:$L$42</definedName>
    <definedName name="solver_lhs3" localSheetId="1" hidden="1">'Investment Portfolios'!$E$13</definedName>
    <definedName name="solver_lhs3" localSheetId="6" hidden="1">'Lockbox Problem-Linear'!$E$50:$J$50</definedName>
    <definedName name="solver_lhs3" localSheetId="15" hidden="1">'Pet Food'!$G$51:$G$54</definedName>
    <definedName name="solver_lhs3" localSheetId="3" hidden="1">'Production Scheduling'!$D$21</definedName>
    <definedName name="solver_lhs3" localSheetId="8" hidden="1">'Snow Removal'!$I$31:$I$40</definedName>
    <definedName name="solver_lhs4" localSheetId="1" hidden="1">'Investment Portfolios'!$F$13</definedName>
    <definedName name="solver_lhs4" localSheetId="6" hidden="1">'Lockbox Problem-Linear'!$E$51:$J$51</definedName>
    <definedName name="solver_lhs4" localSheetId="3" hidden="1">'Production Scheduling'!$E$26</definedName>
    <definedName name="solver_lhs5" localSheetId="1" hidden="1">'Investment Portfolios'!$F$17</definedName>
    <definedName name="solver_lhs5" localSheetId="6" hidden="1">'Lockbox Problem-Linear'!$E$52:$J$52</definedName>
    <definedName name="solver_lhs6" localSheetId="6" hidden="1">'Lockbox Problem-Linear'!$E$53:$J$53</definedName>
    <definedName name="solver_lhs7" localSheetId="6" hidden="1">'Lockbox Problem-Linear'!$E$54:$J$54</definedName>
    <definedName name="solver_lhs8" localSheetId="6" hidden="1">'Lockbox Problem-Linear'!$E$55:$J$55</definedName>
    <definedName name="solver_lhs9" localSheetId="6" hidden="1">'Lockbox Problem-Linear'!$E$70:$J$70</definedName>
    <definedName name="solver_mip" localSheetId="5" hidden="1">2147483647</definedName>
    <definedName name="solver_mip" localSheetId="10" hidden="1">2147483647</definedName>
    <definedName name="solver_mip" localSheetId="14" hidden="1">2147483647</definedName>
    <definedName name="solver_mip" localSheetId="12" hidden="1">2147483647</definedName>
    <definedName name="solver_mip" localSheetId="11" hidden="1">2147483647</definedName>
    <definedName name="solver_mip" localSheetId="17" hidden="1">2147483647</definedName>
    <definedName name="solver_mip" localSheetId="9" hidden="1">2147483647</definedName>
    <definedName name="solver_mip" localSheetId="13" hidden="1">2147483647</definedName>
    <definedName name="solver_mip" localSheetId="7" hidden="1">2147483647</definedName>
    <definedName name="solver_mip" localSheetId="4" hidden="1">2147483647</definedName>
    <definedName name="solver_mip" localSheetId="1" hidden="1">2147483647</definedName>
    <definedName name="solver_mip" localSheetId="6" hidden="1">2147483647</definedName>
    <definedName name="solver_mip" localSheetId="16" hidden="1">2147483647</definedName>
    <definedName name="solver_mip" localSheetId="0" hidden="1">2147483647</definedName>
    <definedName name="solver_mip" localSheetId="15" hidden="1">2147483647</definedName>
    <definedName name="solver_mip" localSheetId="3" hidden="1">2147483647</definedName>
    <definedName name="solver_mip" localSheetId="2" hidden="1">2147483647</definedName>
    <definedName name="solver_mip" localSheetId="8" hidden="1">2147483647</definedName>
    <definedName name="solver_mip" localSheetId="18" hidden="1">2147483647</definedName>
    <definedName name="solver_mni" localSheetId="5" hidden="1">30</definedName>
    <definedName name="solver_mni" localSheetId="10" hidden="1">30</definedName>
    <definedName name="solver_mni" localSheetId="14" hidden="1">30</definedName>
    <definedName name="solver_mni" localSheetId="12" hidden="1">30</definedName>
    <definedName name="solver_mni" localSheetId="11" hidden="1">30</definedName>
    <definedName name="solver_mni" localSheetId="17" hidden="1">30</definedName>
    <definedName name="solver_mni" localSheetId="9" hidden="1">30</definedName>
    <definedName name="solver_mni" localSheetId="13" hidden="1">30</definedName>
    <definedName name="solver_mni" localSheetId="7" hidden="1">30</definedName>
    <definedName name="solver_mni" localSheetId="4" hidden="1">30</definedName>
    <definedName name="solver_mni" localSheetId="1" hidden="1">30</definedName>
    <definedName name="solver_mni" localSheetId="6" hidden="1">30</definedName>
    <definedName name="solver_mni" localSheetId="16" hidden="1">30</definedName>
    <definedName name="solver_mni" localSheetId="0" hidden="1">30</definedName>
    <definedName name="solver_mni" localSheetId="15" hidden="1">30</definedName>
    <definedName name="solver_mni" localSheetId="3" hidden="1">30</definedName>
    <definedName name="solver_mni" localSheetId="2" hidden="1">30</definedName>
    <definedName name="solver_mni" localSheetId="8" hidden="1">30</definedName>
    <definedName name="solver_mni" localSheetId="18" hidden="1">30</definedName>
    <definedName name="solver_mrt" localSheetId="5" hidden="1">0.075</definedName>
    <definedName name="solver_mrt" localSheetId="10" hidden="1">0.075</definedName>
    <definedName name="solver_mrt" localSheetId="14" hidden="1">0.075</definedName>
    <definedName name="solver_mrt" localSheetId="12" hidden="1">0.075</definedName>
    <definedName name="solver_mrt" localSheetId="11" hidden="1">0.075</definedName>
    <definedName name="solver_mrt" localSheetId="17" hidden="1">0.075</definedName>
    <definedName name="solver_mrt" localSheetId="9" hidden="1">0.075</definedName>
    <definedName name="solver_mrt" localSheetId="13" hidden="1">0.075</definedName>
    <definedName name="solver_mrt" localSheetId="7" hidden="1">0.075</definedName>
    <definedName name="solver_mrt" localSheetId="4" hidden="1">0.075</definedName>
    <definedName name="solver_mrt" localSheetId="1" hidden="1">0.075</definedName>
    <definedName name="solver_mrt" localSheetId="6" hidden="1">0.075</definedName>
    <definedName name="solver_mrt" localSheetId="16" hidden="1">0.075</definedName>
    <definedName name="solver_mrt" localSheetId="0" hidden="1">0.075</definedName>
    <definedName name="solver_mrt" localSheetId="15" hidden="1">0.075</definedName>
    <definedName name="solver_mrt" localSheetId="3" hidden="1">0.075</definedName>
    <definedName name="solver_mrt" localSheetId="2" hidden="1">0.075</definedName>
    <definedName name="solver_mrt" localSheetId="8" hidden="1">0.075</definedName>
    <definedName name="solver_mrt" localSheetId="18" hidden="1">0.075</definedName>
    <definedName name="solver_msl" localSheetId="5" hidden="1">2</definedName>
    <definedName name="solver_msl" localSheetId="10" hidden="1">2</definedName>
    <definedName name="solver_msl" localSheetId="14" hidden="1">2</definedName>
    <definedName name="solver_msl" localSheetId="12" hidden="1">2</definedName>
    <definedName name="solver_msl" localSheetId="11" hidden="1">2</definedName>
    <definedName name="solver_msl" localSheetId="17" hidden="1">2</definedName>
    <definedName name="solver_msl" localSheetId="9" hidden="1">2</definedName>
    <definedName name="solver_msl" localSheetId="13" hidden="1">2</definedName>
    <definedName name="solver_msl" localSheetId="7" hidden="1">2</definedName>
    <definedName name="solver_msl" localSheetId="4" hidden="1">2</definedName>
    <definedName name="solver_msl" localSheetId="1" hidden="1">2</definedName>
    <definedName name="solver_msl" localSheetId="6" hidden="1">2</definedName>
    <definedName name="solver_msl" localSheetId="16" hidden="1">2</definedName>
    <definedName name="solver_msl" localSheetId="0" hidden="1">2</definedName>
    <definedName name="solver_msl" localSheetId="15" hidden="1">2</definedName>
    <definedName name="solver_msl" localSheetId="3" hidden="1">2</definedName>
    <definedName name="solver_msl" localSheetId="2" hidden="1">2</definedName>
    <definedName name="solver_msl" localSheetId="8" hidden="1">2</definedName>
    <definedName name="solver_msl" localSheetId="18" hidden="1">2</definedName>
    <definedName name="solver_neg" localSheetId="5" hidden="1">1</definedName>
    <definedName name="solver_neg" localSheetId="10" hidden="1">1</definedName>
    <definedName name="solver_neg" localSheetId="14" hidden="1">1</definedName>
    <definedName name="solver_neg" localSheetId="12" hidden="1">1</definedName>
    <definedName name="solver_neg" localSheetId="11" hidden="1">1</definedName>
    <definedName name="solver_neg" localSheetId="17" hidden="1">1</definedName>
    <definedName name="solver_neg" localSheetId="9" hidden="1">1</definedName>
    <definedName name="solver_neg" localSheetId="13" hidden="1">1</definedName>
    <definedName name="solver_neg" localSheetId="7" hidden="1">1</definedName>
    <definedName name="solver_neg" localSheetId="4" hidden="1">1</definedName>
    <definedName name="solver_neg" localSheetId="1" hidden="1">1</definedName>
    <definedName name="solver_neg" localSheetId="6" hidden="1">1</definedName>
    <definedName name="solver_neg" localSheetId="16" hidden="1">1</definedName>
    <definedName name="solver_neg" localSheetId="0" hidden="1">1</definedName>
    <definedName name="solver_neg" localSheetId="15" hidden="1">1</definedName>
    <definedName name="solver_neg" localSheetId="3" hidden="1">1</definedName>
    <definedName name="solver_neg" localSheetId="2" hidden="1">1</definedName>
    <definedName name="solver_neg" localSheetId="8" hidden="1">1</definedName>
    <definedName name="solver_neg" localSheetId="18" hidden="1">1</definedName>
    <definedName name="solver_nod" localSheetId="5" hidden="1">2147483647</definedName>
    <definedName name="solver_nod" localSheetId="10" hidden="1">2147483647</definedName>
    <definedName name="solver_nod" localSheetId="14" hidden="1">2147483647</definedName>
    <definedName name="solver_nod" localSheetId="12" hidden="1">2147483647</definedName>
    <definedName name="solver_nod" localSheetId="11" hidden="1">2147483647</definedName>
    <definedName name="solver_nod" localSheetId="17" hidden="1">2147483647</definedName>
    <definedName name="solver_nod" localSheetId="9" hidden="1">2147483647</definedName>
    <definedName name="solver_nod" localSheetId="13" hidden="1">2147483647</definedName>
    <definedName name="solver_nod" localSheetId="7" hidden="1">2147483647</definedName>
    <definedName name="solver_nod" localSheetId="4" hidden="1">2147483647</definedName>
    <definedName name="solver_nod" localSheetId="1" hidden="1">2147483647</definedName>
    <definedName name="solver_nod" localSheetId="6" hidden="1">2147483647</definedName>
    <definedName name="solver_nod" localSheetId="16" hidden="1">2147483647</definedName>
    <definedName name="solver_nod" localSheetId="0" hidden="1">2147483647</definedName>
    <definedName name="solver_nod" localSheetId="15" hidden="1">2147483647</definedName>
    <definedName name="solver_nod" localSheetId="3" hidden="1">2147483647</definedName>
    <definedName name="solver_nod" localSheetId="2" hidden="1">2147483647</definedName>
    <definedName name="solver_nod" localSheetId="8" hidden="1">2147483647</definedName>
    <definedName name="solver_nod" localSheetId="18" hidden="1">2147483647</definedName>
    <definedName name="solver_num" localSheetId="5" hidden="1">2</definedName>
    <definedName name="solver_num" localSheetId="10" hidden="1">3</definedName>
    <definedName name="solver_num" localSheetId="14" hidden="1">3</definedName>
    <definedName name="solver_num" localSheetId="12" hidden="1">3</definedName>
    <definedName name="solver_num" localSheetId="11" hidden="1">1</definedName>
    <definedName name="solver_num" localSheetId="17" hidden="1">3</definedName>
    <definedName name="solver_num" localSheetId="9" hidden="1">2</definedName>
    <definedName name="solver_num" localSheetId="13" hidden="1">2</definedName>
    <definedName name="solver_num" localSheetId="7" hidden="1">2</definedName>
    <definedName name="solver_num" localSheetId="4" hidden="1">3</definedName>
    <definedName name="solver_num" localSheetId="1" hidden="1">5</definedName>
    <definedName name="solver_num" localSheetId="6" hidden="1">10</definedName>
    <definedName name="solver_num" localSheetId="16" hidden="1">2</definedName>
    <definedName name="solver_num" localSheetId="0" hidden="1">2</definedName>
    <definedName name="solver_num" localSheetId="15" hidden="1">3</definedName>
    <definedName name="solver_num" localSheetId="3" hidden="1">4</definedName>
    <definedName name="solver_num" localSheetId="2" hidden="1">2</definedName>
    <definedName name="solver_num" localSheetId="8" hidden="1">3</definedName>
    <definedName name="solver_num" localSheetId="18" hidden="1">2</definedName>
    <definedName name="solver_nwt" localSheetId="5" hidden="1">1</definedName>
    <definedName name="solver_nwt" localSheetId="10" hidden="1">1</definedName>
    <definedName name="solver_nwt" localSheetId="14" hidden="1">1</definedName>
    <definedName name="solver_nwt" localSheetId="12" hidden="1">1</definedName>
    <definedName name="solver_nwt" localSheetId="11" hidden="1">1</definedName>
    <definedName name="solver_nwt" localSheetId="17" hidden="1">1</definedName>
    <definedName name="solver_nwt" localSheetId="9" hidden="1">1</definedName>
    <definedName name="solver_nwt" localSheetId="13" hidden="1">1</definedName>
    <definedName name="solver_nwt" localSheetId="7" hidden="1">1</definedName>
    <definedName name="solver_nwt" localSheetId="4" hidden="1">1</definedName>
    <definedName name="solver_nwt" localSheetId="1" hidden="1">1</definedName>
    <definedName name="solver_nwt" localSheetId="6" hidden="1">1</definedName>
    <definedName name="solver_nwt" localSheetId="16" hidden="1">1</definedName>
    <definedName name="solver_nwt" localSheetId="0" hidden="1">1</definedName>
    <definedName name="solver_nwt" localSheetId="15" hidden="1">1</definedName>
    <definedName name="solver_nwt" localSheetId="3" hidden="1">1</definedName>
    <definedName name="solver_nwt" localSheetId="2" hidden="1">1</definedName>
    <definedName name="solver_nwt" localSheetId="8" hidden="1">1</definedName>
    <definedName name="solver_nwt" localSheetId="18" hidden="1">1</definedName>
    <definedName name="solver_opt" localSheetId="5" hidden="1">'Assembly Line Equipment'!$F$21</definedName>
    <definedName name="solver_opt" localSheetId="10" hidden="1">'Bike Frames'!$E$18</definedName>
    <definedName name="solver_opt" localSheetId="14" hidden="1">Butter!$E$14</definedName>
    <definedName name="solver_opt" localSheetId="12" hidden="1">'Crushing More Rocks'!$F$22</definedName>
    <definedName name="solver_opt" localSheetId="11" hidden="1">'Crushing Rocks'!$E$20</definedName>
    <definedName name="solver_opt" localSheetId="17" hidden="1">Farming!$G$26</definedName>
    <definedName name="solver_opt" localSheetId="9" hidden="1">'Golf Bags'!$E$17</definedName>
    <definedName name="solver_opt" localSheetId="13" hidden="1">'Hospital Scheduling'!$F$23</definedName>
    <definedName name="solver_opt" localSheetId="7" hidden="1">'Inventory Depletion'!$H$26</definedName>
    <definedName name="solver_opt" localSheetId="4" hidden="1">'Inventory Management'!$D$28</definedName>
    <definedName name="solver_opt" localSheetId="1" hidden="1">'Investment Portfolios'!$F$15</definedName>
    <definedName name="solver_opt" localSheetId="6" hidden="1">'Lockbox Problem-Linear'!$L$59</definedName>
    <definedName name="solver_opt" localSheetId="16" hidden="1">'Lockbox Problem-Non-Linear'!$L$59</definedName>
    <definedName name="solver_opt" localSheetId="0" hidden="1">'Manufacturing and Distribution'!$D$40</definedName>
    <definedName name="solver_opt" localSheetId="15" hidden="1">'Pet Food'!$L$36</definedName>
    <definedName name="solver_opt" localSheetId="3" hidden="1">'Production Scheduling'!$E$24</definedName>
    <definedName name="solver_opt" localSheetId="2" hidden="1">'Project Selection'!$R$36</definedName>
    <definedName name="solver_opt" localSheetId="8" hidden="1">'Snow Removal'!$E$43</definedName>
    <definedName name="solver_opt" localSheetId="18" hidden="1">'Union Busting'!$E$18</definedName>
    <definedName name="solver_pre" localSheetId="5" hidden="1">0.000001</definedName>
    <definedName name="solver_pre" localSheetId="10" hidden="1">0.000001</definedName>
    <definedName name="solver_pre" localSheetId="14" hidden="1">0.000001</definedName>
    <definedName name="solver_pre" localSheetId="12" hidden="1">0.000001</definedName>
    <definedName name="solver_pre" localSheetId="11" hidden="1">0.000001</definedName>
    <definedName name="solver_pre" localSheetId="17" hidden="1">0.000001</definedName>
    <definedName name="solver_pre" localSheetId="9" hidden="1">0.000001</definedName>
    <definedName name="solver_pre" localSheetId="13" hidden="1">0.000001</definedName>
    <definedName name="solver_pre" localSheetId="7" hidden="1">0.000001</definedName>
    <definedName name="solver_pre" localSheetId="4" hidden="1">0.000001</definedName>
    <definedName name="solver_pre" localSheetId="1" hidden="1">0.000001</definedName>
    <definedName name="solver_pre" localSheetId="6" hidden="1">0.000001</definedName>
    <definedName name="solver_pre" localSheetId="16" hidden="1">0.000001</definedName>
    <definedName name="solver_pre" localSheetId="0" hidden="1">0.000001</definedName>
    <definedName name="solver_pre" localSheetId="15" hidden="1">0.000001</definedName>
    <definedName name="solver_pre" localSheetId="3" hidden="1">0.000001</definedName>
    <definedName name="solver_pre" localSheetId="2" hidden="1">0.000001</definedName>
    <definedName name="solver_pre" localSheetId="8" hidden="1">0.000001</definedName>
    <definedName name="solver_pre" localSheetId="18" hidden="1">0.000001</definedName>
    <definedName name="solver_rbv" localSheetId="5" hidden="1">2</definedName>
    <definedName name="solver_rbv" localSheetId="10" hidden="1">2</definedName>
    <definedName name="solver_rbv" localSheetId="14" hidden="1">1</definedName>
    <definedName name="solver_rbv" localSheetId="12" hidden="1">1</definedName>
    <definedName name="solver_rbv" localSheetId="11" hidden="1">1</definedName>
    <definedName name="solver_rbv" localSheetId="17" hidden="1">2</definedName>
    <definedName name="solver_rbv" localSheetId="9" hidden="1">1</definedName>
    <definedName name="solver_rbv" localSheetId="13" hidden="1">1</definedName>
    <definedName name="solver_rbv" localSheetId="7" hidden="1">1</definedName>
    <definedName name="solver_rbv" localSheetId="4" hidden="1">2</definedName>
    <definedName name="solver_rbv" localSheetId="1" hidden="1">2</definedName>
    <definedName name="solver_rbv" localSheetId="6" hidden="1">1</definedName>
    <definedName name="solver_rbv" localSheetId="16" hidden="1">1</definedName>
    <definedName name="solver_rbv" localSheetId="0" hidden="1">1</definedName>
    <definedName name="solver_rbv" localSheetId="15" hidden="1">2</definedName>
    <definedName name="solver_rbv" localSheetId="3" hidden="1">2</definedName>
    <definedName name="solver_rbv" localSheetId="2" hidden="1">1</definedName>
    <definedName name="solver_rbv" localSheetId="8" hidden="1">2</definedName>
    <definedName name="solver_rbv" localSheetId="18" hidden="1">1</definedName>
    <definedName name="solver_rel1" localSheetId="5" hidden="1">4</definedName>
    <definedName name="solver_rel1" localSheetId="10" hidden="1">2</definedName>
    <definedName name="solver_rel1" localSheetId="14" hidden="1">4</definedName>
    <definedName name="solver_rel1" localSheetId="12" hidden="1">4</definedName>
    <definedName name="solver_rel1" localSheetId="11" hidden="1">3</definedName>
    <definedName name="solver_rel1" localSheetId="17" hidden="1">1</definedName>
    <definedName name="solver_rel1" localSheetId="9" hidden="1">4</definedName>
    <definedName name="solver_rel1" localSheetId="13" hidden="1">4</definedName>
    <definedName name="solver_rel1" localSheetId="7" hidden="1">4</definedName>
    <definedName name="solver_rel1" localSheetId="4" hidden="1">4</definedName>
    <definedName name="solver_rel1" localSheetId="1" hidden="1">3</definedName>
    <definedName name="solver_rel1" localSheetId="6" hidden="1">1</definedName>
    <definedName name="solver_rel1" localSheetId="16" hidden="1">5</definedName>
    <definedName name="solver_rel1" localSheetId="0" hidden="1">3</definedName>
    <definedName name="solver_rel1" localSheetId="15" hidden="1">3</definedName>
    <definedName name="solver_rel1" localSheetId="3" hidden="1">4</definedName>
    <definedName name="solver_rel1" localSheetId="2" hidden="1">5</definedName>
    <definedName name="solver_rel1" localSheetId="8" hidden="1">5</definedName>
    <definedName name="solver_rel1" localSheetId="18" hidden="1">1</definedName>
    <definedName name="solver_rel10" localSheetId="6" hidden="1">2</definedName>
    <definedName name="solver_rel2" localSheetId="5" hidden="1">3</definedName>
    <definedName name="solver_rel2" localSheetId="10" hidden="1">3</definedName>
    <definedName name="solver_rel2" localSheetId="14" hidden="1">3</definedName>
    <definedName name="solver_rel2" localSheetId="12" hidden="1">3</definedName>
    <definedName name="solver_rel2" localSheetId="11" hidden="1">3</definedName>
    <definedName name="solver_rel2" localSheetId="17" hidden="1">1</definedName>
    <definedName name="solver_rel2" localSheetId="9" hidden="1">1</definedName>
    <definedName name="solver_rel2" localSheetId="13" hidden="1">1</definedName>
    <definedName name="solver_rel2" localSheetId="7" hidden="1">1</definedName>
    <definedName name="solver_rel2" localSheetId="4" hidden="1">2</definedName>
    <definedName name="solver_rel2" localSheetId="1" hidden="1">3</definedName>
    <definedName name="solver_rel2" localSheetId="6" hidden="1">5</definedName>
    <definedName name="solver_rel2" localSheetId="16" hidden="1">2</definedName>
    <definedName name="solver_rel2" localSheetId="0" hidden="1">1</definedName>
    <definedName name="solver_rel2" localSheetId="15" hidden="1">1</definedName>
    <definedName name="solver_rel2" localSheetId="3" hidden="1">1</definedName>
    <definedName name="solver_rel2" localSheetId="2" hidden="1">1</definedName>
    <definedName name="solver_rel2" localSheetId="8" hidden="1">1</definedName>
    <definedName name="solver_rel2" localSheetId="18" hidden="1">2</definedName>
    <definedName name="solver_rel3" localSheetId="10" hidden="1">1</definedName>
    <definedName name="solver_rel3" localSheetId="14" hidden="1">1</definedName>
    <definedName name="solver_rel3" localSheetId="12" hidden="1">3</definedName>
    <definedName name="solver_rel3" localSheetId="17" hidden="1">1</definedName>
    <definedName name="solver_rel3" localSheetId="4" hidden="1">2</definedName>
    <definedName name="solver_rel3" localSheetId="1" hidden="1">3</definedName>
    <definedName name="solver_rel3" localSheetId="6" hidden="1">1</definedName>
    <definedName name="solver_rel3" localSheetId="15" hidden="1">3</definedName>
    <definedName name="solver_rel3" localSheetId="3" hidden="1">1</definedName>
    <definedName name="solver_rel3" localSheetId="8" hidden="1">2</definedName>
    <definedName name="solver_rel4" localSheetId="1" hidden="1">2</definedName>
    <definedName name="solver_rel4" localSheetId="6" hidden="1">1</definedName>
    <definedName name="solver_rel4" localSheetId="3" hidden="1">1</definedName>
    <definedName name="solver_rel5" localSheetId="1" hidden="1">1</definedName>
    <definedName name="solver_rel5" localSheetId="6" hidden="1">1</definedName>
    <definedName name="solver_rel6" localSheetId="6" hidden="1">1</definedName>
    <definedName name="solver_rel7" localSheetId="6" hidden="1">1</definedName>
    <definedName name="solver_rel8" localSheetId="6" hidden="1">1</definedName>
    <definedName name="solver_rel9" localSheetId="6" hidden="1">5</definedName>
    <definedName name="solver_rhs1" localSheetId="5" hidden="1">"integer"</definedName>
    <definedName name="solver_rhs1" localSheetId="10" hidden="1">'Bike Frames'!$G$16</definedName>
    <definedName name="solver_rhs1" localSheetId="14" hidden="1">"integer"</definedName>
    <definedName name="solver_rhs1" localSheetId="12" hidden="1">"integer"</definedName>
    <definedName name="solver_rhs1" localSheetId="11" hidden="1">'Crushing Rocks'!$F$22:$F$23</definedName>
    <definedName name="solver_rhs1" localSheetId="17" hidden="1">Farming!$D$29:$F$29</definedName>
    <definedName name="solver_rhs1" localSheetId="9" hidden="1">"integer"</definedName>
    <definedName name="solver_rhs1" localSheetId="13" hidden="1">"integer"</definedName>
    <definedName name="solver_rhs1" localSheetId="7" hidden="1">"integer"</definedName>
    <definedName name="solver_rhs1" localSheetId="4" hidden="1">"integer"</definedName>
    <definedName name="solver_rhs1" localSheetId="1" hidden="1">'Investment Portfolios'!$C$18</definedName>
    <definedName name="solver_rhs1" localSheetId="6" hidden="1">'Lockbox Problem-Linear'!$E$70:$J$70</definedName>
    <definedName name="solver_rhs1" localSheetId="16" hidden="1">"binary"</definedName>
    <definedName name="solver_rhs1" localSheetId="0" hidden="1">'Manufacturing and Distribution'!$D$50:$J$50</definedName>
    <definedName name="solver_rhs1" localSheetId="15" hidden="1">'Pet Food'!$C$51:$C$55</definedName>
    <definedName name="solver_rhs1" localSheetId="3" hidden="1">"integer"</definedName>
    <definedName name="solver_rhs1" localSheetId="2" hidden="1">"binary"</definedName>
    <definedName name="solver_rhs1" localSheetId="8" hidden="1">"binary"</definedName>
    <definedName name="solver_rhs1" localSheetId="18" hidden="1">'Union Busting'!$D$33:$H$33</definedName>
    <definedName name="solver_rhs10" localSheetId="6" hidden="1">'Lockbox Problem-Linear'!$L$49:$L$55</definedName>
    <definedName name="solver_rhs2" localSheetId="5" hidden="1">'Assembly Line Equipment'!$G$24:$G$28</definedName>
    <definedName name="solver_rhs2" localSheetId="10" hidden="1">'Bike Frames'!$G$21</definedName>
    <definedName name="solver_rhs2" localSheetId="14" hidden="1">Butter!$D$20</definedName>
    <definedName name="solver_rhs2" localSheetId="12" hidden="1">'Crushing More Rocks'!$D$30</definedName>
    <definedName name="solver_rhs2" localSheetId="11" hidden="1">'Crushing Rocks'!$F$23</definedName>
    <definedName name="solver_rhs2" localSheetId="17" hidden="1">Farming!$C$35:$C$37</definedName>
    <definedName name="solver_rhs2" localSheetId="9" hidden="1">'Golf Bags'!$F$19:$F$22</definedName>
    <definedName name="solver_rhs2" localSheetId="13" hidden="1">'Hospital Scheduling'!$G$29:$G$30</definedName>
    <definedName name="solver_rhs2" localSheetId="7" hidden="1">'Inventory Depletion'!$G$30:$G$32</definedName>
    <definedName name="solver_rhs2" localSheetId="4" hidden="1">'Inventory Management'!$C$36:$C$42</definedName>
    <definedName name="solver_rhs2" localSheetId="1" hidden="1">'Investment Portfolios'!$D$18</definedName>
    <definedName name="solver_rhs2" localSheetId="6" hidden="1">"binary"</definedName>
    <definedName name="solver_rhs2" localSheetId="16" hidden="1">'Lockbox Problem-Non-Linear'!$L$49:$L$55</definedName>
    <definedName name="solver_rhs2" localSheetId="0" hidden="1">'Manufacturing and Distribution'!$D$53:$D$56</definedName>
    <definedName name="solver_rhs2" localSheetId="15" hidden="1">'Pet Food'!$F$40:$F$41</definedName>
    <definedName name="solver_rhs2" localSheetId="3" hidden="1">'Production Scheduling'!$C$27</definedName>
    <definedName name="solver_rhs2" localSheetId="2" hidden="1">'Project Selection'!$E$38:$E$42</definedName>
    <definedName name="solver_rhs2" localSheetId="8" hidden="1">'Snow Removal'!$D$58:$H$58</definedName>
    <definedName name="solver_rhs2" localSheetId="18" hidden="1">'Union Busting'!$D$36:$D$45</definedName>
    <definedName name="solver_rhs3" localSheetId="10" hidden="1">'Bike Frames'!$G$22</definedName>
    <definedName name="solver_rhs3" localSheetId="14" hidden="1">Butter!$F$17:$F$18</definedName>
    <definedName name="solver_rhs3" localSheetId="12" hidden="1">'Crushing More Rocks'!$G$25:$G$28</definedName>
    <definedName name="solver_rhs3" localSheetId="17" hidden="1">Farming!$H$40:$H$42</definedName>
    <definedName name="solver_rhs3" localSheetId="4" hidden="1">'Inventory Management'!$D$36:$D$42</definedName>
    <definedName name="solver_rhs3" localSheetId="1" hidden="1">'Investment Portfolios'!$E$18</definedName>
    <definedName name="solver_rhs3" localSheetId="6" hidden="1">'Lockbox Problem-Linear'!$E$70:$J$70</definedName>
    <definedName name="solver_rhs3" localSheetId="15" hidden="1">'Pet Food'!$F$51:$F$54</definedName>
    <definedName name="solver_rhs3" localSheetId="3" hidden="1">'Production Scheduling'!$D$27</definedName>
    <definedName name="solver_rhs3" localSheetId="8" hidden="1">'Snow Removal'!$J$31:$J$40</definedName>
    <definedName name="solver_rhs4" localSheetId="1" hidden="1">'Investment Portfolios'!$G$13</definedName>
    <definedName name="solver_rhs4" localSheetId="6" hidden="1">'Lockbox Problem-Linear'!$E$70:$J$70</definedName>
    <definedName name="solver_rhs4" localSheetId="3" hidden="1">'Production Scheduling'!$F$26</definedName>
    <definedName name="solver_rhs5" localSheetId="1" hidden="1">'Investment Portfolios'!$G$17</definedName>
    <definedName name="solver_rhs5" localSheetId="6" hidden="1">'Lockbox Problem-Linear'!$E$70:$J$70</definedName>
    <definedName name="solver_rhs6" localSheetId="6" hidden="1">'Lockbox Problem-Linear'!$E$70:$J$70</definedName>
    <definedName name="solver_rhs7" localSheetId="6" hidden="1">'Lockbox Problem-Linear'!$E$70:$J$70</definedName>
    <definedName name="solver_rhs8" localSheetId="6" hidden="1">'Lockbox Problem-Linear'!$E$70:$J$70</definedName>
    <definedName name="solver_rhs9" localSheetId="6" hidden="1">"binary"</definedName>
    <definedName name="solver_rlx" localSheetId="5" hidden="1">2</definedName>
    <definedName name="solver_rlx" localSheetId="10" hidden="1">2</definedName>
    <definedName name="solver_rlx" localSheetId="14" hidden="1">2</definedName>
    <definedName name="solver_rlx" localSheetId="12" hidden="1">2</definedName>
    <definedName name="solver_rlx" localSheetId="11" hidden="1">2</definedName>
    <definedName name="solver_rlx" localSheetId="17" hidden="1">2</definedName>
    <definedName name="solver_rlx" localSheetId="9" hidden="1">2</definedName>
    <definedName name="solver_rlx" localSheetId="13" hidden="1">2</definedName>
    <definedName name="solver_rlx" localSheetId="7" hidden="1">2</definedName>
    <definedName name="solver_rlx" localSheetId="4" hidden="1">2</definedName>
    <definedName name="solver_rlx" localSheetId="1" hidden="1">2</definedName>
    <definedName name="solver_rlx" localSheetId="6" hidden="1">2</definedName>
    <definedName name="solver_rlx" localSheetId="16" hidden="1">2</definedName>
    <definedName name="solver_rlx" localSheetId="0" hidden="1">2</definedName>
    <definedName name="solver_rlx" localSheetId="15" hidden="1">2</definedName>
    <definedName name="solver_rlx" localSheetId="3" hidden="1">2</definedName>
    <definedName name="solver_rlx" localSheetId="2" hidden="1">2</definedName>
    <definedName name="solver_rlx" localSheetId="8" hidden="1">2</definedName>
    <definedName name="solver_rlx" localSheetId="18" hidden="1">2</definedName>
    <definedName name="solver_rsd" localSheetId="5" hidden="1">0</definedName>
    <definedName name="solver_rsd" localSheetId="10" hidden="1">0</definedName>
    <definedName name="solver_rsd" localSheetId="14" hidden="1">0</definedName>
    <definedName name="solver_rsd" localSheetId="12" hidden="1">0</definedName>
    <definedName name="solver_rsd" localSheetId="11" hidden="1">0</definedName>
    <definedName name="solver_rsd" localSheetId="17" hidden="1">0</definedName>
    <definedName name="solver_rsd" localSheetId="9" hidden="1">0</definedName>
    <definedName name="solver_rsd" localSheetId="13" hidden="1">0</definedName>
    <definedName name="solver_rsd" localSheetId="7" hidden="1">0</definedName>
    <definedName name="solver_rsd" localSheetId="4" hidden="1">0</definedName>
    <definedName name="solver_rsd" localSheetId="1" hidden="1">0</definedName>
    <definedName name="solver_rsd" localSheetId="6" hidden="1">0</definedName>
    <definedName name="solver_rsd" localSheetId="16" hidden="1">0</definedName>
    <definedName name="solver_rsd" localSheetId="0" hidden="1">0</definedName>
    <definedName name="solver_rsd" localSheetId="15" hidden="1">0</definedName>
    <definedName name="solver_rsd" localSheetId="3" hidden="1">0</definedName>
    <definedName name="solver_rsd" localSheetId="2" hidden="1">0</definedName>
    <definedName name="solver_rsd" localSheetId="8" hidden="1">0</definedName>
    <definedName name="solver_rsd" localSheetId="18" hidden="1">0</definedName>
    <definedName name="solver_scl" localSheetId="5" hidden="1">2</definedName>
    <definedName name="solver_scl" localSheetId="10" hidden="1">2</definedName>
    <definedName name="solver_scl" localSheetId="14" hidden="1">1</definedName>
    <definedName name="solver_scl" localSheetId="12" hidden="1">1</definedName>
    <definedName name="solver_scl" localSheetId="11" hidden="1">1</definedName>
    <definedName name="solver_scl" localSheetId="17" hidden="1">2</definedName>
    <definedName name="solver_scl" localSheetId="9" hidden="1">1</definedName>
    <definedName name="solver_scl" localSheetId="13" hidden="1">1</definedName>
    <definedName name="solver_scl" localSheetId="7" hidden="1">1</definedName>
    <definedName name="solver_scl" localSheetId="4" hidden="1">2</definedName>
    <definedName name="solver_scl" localSheetId="1" hidden="1">2</definedName>
    <definedName name="solver_scl" localSheetId="6" hidden="1">1</definedName>
    <definedName name="solver_scl" localSheetId="16" hidden="1">1</definedName>
    <definedName name="solver_scl" localSheetId="0" hidden="1">1</definedName>
    <definedName name="solver_scl" localSheetId="15" hidden="1">2</definedName>
    <definedName name="solver_scl" localSheetId="3" hidden="1">2</definedName>
    <definedName name="solver_scl" localSheetId="2" hidden="1">1</definedName>
    <definedName name="solver_scl" localSheetId="8" hidden="1">2</definedName>
    <definedName name="solver_scl" localSheetId="18" hidden="1">1</definedName>
    <definedName name="solver_sho" localSheetId="5" hidden="1">2</definedName>
    <definedName name="solver_sho" localSheetId="10" hidden="1">2</definedName>
    <definedName name="solver_sho" localSheetId="14" hidden="1">2</definedName>
    <definedName name="solver_sho" localSheetId="12" hidden="1">2</definedName>
    <definedName name="solver_sho" localSheetId="11" hidden="1">2</definedName>
    <definedName name="solver_sho" localSheetId="17" hidden="1">2</definedName>
    <definedName name="solver_sho" localSheetId="9" hidden="1">2</definedName>
    <definedName name="solver_sho" localSheetId="13" hidden="1">2</definedName>
    <definedName name="solver_sho" localSheetId="7" hidden="1">2</definedName>
    <definedName name="solver_sho" localSheetId="4" hidden="1">2</definedName>
    <definedName name="solver_sho" localSheetId="1" hidden="1">2</definedName>
    <definedName name="solver_sho" localSheetId="6" hidden="1">2</definedName>
    <definedName name="solver_sho" localSheetId="16" hidden="1">2</definedName>
    <definedName name="solver_sho" localSheetId="0" hidden="1">2</definedName>
    <definedName name="solver_sho" localSheetId="15" hidden="1">2</definedName>
    <definedName name="solver_sho" localSheetId="3" hidden="1">2</definedName>
    <definedName name="solver_sho" localSheetId="2" hidden="1">2</definedName>
    <definedName name="solver_sho" localSheetId="8" hidden="1">2</definedName>
    <definedName name="solver_sho" localSheetId="18" hidden="1">2</definedName>
    <definedName name="solver_ssz" localSheetId="5" hidden="1">100</definedName>
    <definedName name="solver_ssz" localSheetId="10" hidden="1">100</definedName>
    <definedName name="solver_ssz" localSheetId="14" hidden="1">100</definedName>
    <definedName name="solver_ssz" localSheetId="12" hidden="1">100</definedName>
    <definedName name="solver_ssz" localSheetId="11" hidden="1">100</definedName>
    <definedName name="solver_ssz" localSheetId="17" hidden="1">100</definedName>
    <definedName name="solver_ssz" localSheetId="9" hidden="1">100</definedName>
    <definedName name="solver_ssz" localSheetId="13" hidden="1">100</definedName>
    <definedName name="solver_ssz" localSheetId="7" hidden="1">100</definedName>
    <definedName name="solver_ssz" localSheetId="4" hidden="1">100</definedName>
    <definedName name="solver_ssz" localSheetId="1" hidden="1">100</definedName>
    <definedName name="solver_ssz" localSheetId="6" hidden="1">100</definedName>
    <definedName name="solver_ssz" localSheetId="16" hidden="1">100</definedName>
    <definedName name="solver_ssz" localSheetId="0" hidden="1">100</definedName>
    <definedName name="solver_ssz" localSheetId="15" hidden="1">100</definedName>
    <definedName name="solver_ssz" localSheetId="3" hidden="1">100</definedName>
    <definedName name="solver_ssz" localSheetId="2" hidden="1">100</definedName>
    <definedName name="solver_ssz" localSheetId="8" hidden="1">100</definedName>
    <definedName name="solver_ssz" localSheetId="18" hidden="1">100</definedName>
    <definedName name="solver_tim" localSheetId="5" hidden="1">2147483647</definedName>
    <definedName name="solver_tim" localSheetId="10" hidden="1">2147483647</definedName>
    <definedName name="solver_tim" localSheetId="14" hidden="1">2147483647</definedName>
    <definedName name="solver_tim" localSheetId="12" hidden="1">2147483647</definedName>
    <definedName name="solver_tim" localSheetId="11" hidden="1">2147483647</definedName>
    <definedName name="solver_tim" localSheetId="17" hidden="1">2147483647</definedName>
    <definedName name="solver_tim" localSheetId="9" hidden="1">2147483647</definedName>
    <definedName name="solver_tim" localSheetId="13" hidden="1">2147483647</definedName>
    <definedName name="solver_tim" localSheetId="7" hidden="1">2147483647</definedName>
    <definedName name="solver_tim" localSheetId="4" hidden="1">2147483647</definedName>
    <definedName name="solver_tim" localSheetId="1" hidden="1">2147483647</definedName>
    <definedName name="solver_tim" localSheetId="6" hidden="1">2147483647</definedName>
    <definedName name="solver_tim" localSheetId="16" hidden="1">2147483647</definedName>
    <definedName name="solver_tim" localSheetId="0" hidden="1">2147483647</definedName>
    <definedName name="solver_tim" localSheetId="15" hidden="1">2147483647</definedName>
    <definedName name="solver_tim" localSheetId="3" hidden="1">2147483647</definedName>
    <definedName name="solver_tim" localSheetId="2" hidden="1">2147483647</definedName>
    <definedName name="solver_tim" localSheetId="8" hidden="1">2147483647</definedName>
    <definedName name="solver_tim" localSheetId="18" hidden="1">2147483647</definedName>
    <definedName name="solver_tol" localSheetId="5" hidden="1">0.01</definedName>
    <definedName name="solver_tol" localSheetId="10" hidden="1">0.01</definedName>
    <definedName name="solver_tol" localSheetId="14" hidden="1">0.01</definedName>
    <definedName name="solver_tol" localSheetId="12" hidden="1">0.01</definedName>
    <definedName name="solver_tol" localSheetId="11" hidden="1">0.01</definedName>
    <definedName name="solver_tol" localSheetId="17" hidden="1">0.01</definedName>
    <definedName name="solver_tol" localSheetId="9" hidden="1">0.01</definedName>
    <definedName name="solver_tol" localSheetId="13" hidden="1">0.01</definedName>
    <definedName name="solver_tol" localSheetId="7" hidden="1">0.01</definedName>
    <definedName name="solver_tol" localSheetId="4" hidden="1">0.01</definedName>
    <definedName name="solver_tol" localSheetId="1" hidden="1">0.01</definedName>
    <definedName name="solver_tol" localSheetId="6" hidden="1">0.01</definedName>
    <definedName name="solver_tol" localSheetId="16" hidden="1">0.01</definedName>
    <definedName name="solver_tol" localSheetId="0" hidden="1">0.01</definedName>
    <definedName name="solver_tol" localSheetId="15" hidden="1">0.01</definedName>
    <definedName name="solver_tol" localSheetId="3" hidden="1">0.01</definedName>
    <definedName name="solver_tol" localSheetId="2" hidden="1">0.01</definedName>
    <definedName name="solver_tol" localSheetId="8" hidden="1">0.01</definedName>
    <definedName name="solver_tol" localSheetId="18" hidden="1">0.01</definedName>
    <definedName name="solver_typ" localSheetId="5" hidden="1">2</definedName>
    <definedName name="solver_typ" localSheetId="10" hidden="1">2</definedName>
    <definedName name="solver_typ" localSheetId="14" hidden="1">1</definedName>
    <definedName name="solver_typ" localSheetId="12" hidden="1">2</definedName>
    <definedName name="solver_typ" localSheetId="11" hidden="1">2</definedName>
    <definedName name="solver_typ" localSheetId="17" hidden="1">1</definedName>
    <definedName name="solver_typ" localSheetId="9" hidden="1">1</definedName>
    <definedName name="solver_typ" localSheetId="13" hidden="1">1</definedName>
    <definedName name="solver_typ" localSheetId="7" hidden="1">1</definedName>
    <definedName name="solver_typ" localSheetId="4" hidden="1">2</definedName>
    <definedName name="solver_typ" localSheetId="1" hidden="1">1</definedName>
    <definedName name="solver_typ" localSheetId="6" hidden="1">2</definedName>
    <definedName name="solver_typ" localSheetId="16" hidden="1">2</definedName>
    <definedName name="solver_typ" localSheetId="0" hidden="1">2</definedName>
    <definedName name="solver_typ" localSheetId="15" hidden="1">1</definedName>
    <definedName name="solver_typ" localSheetId="3" hidden="1">1</definedName>
    <definedName name="solver_typ" localSheetId="2" hidden="1">1</definedName>
    <definedName name="solver_typ" localSheetId="8" hidden="1">2</definedName>
    <definedName name="solver_typ" localSheetId="18" hidden="1">2</definedName>
    <definedName name="solver_val" localSheetId="5" hidden="1">0</definedName>
    <definedName name="solver_val" localSheetId="10" hidden="1">0</definedName>
    <definedName name="solver_val" localSheetId="14" hidden="1">0</definedName>
    <definedName name="solver_val" localSheetId="12" hidden="1">0</definedName>
    <definedName name="solver_val" localSheetId="11" hidden="1">0</definedName>
    <definedName name="solver_val" localSheetId="17" hidden="1">0</definedName>
    <definedName name="solver_val" localSheetId="9" hidden="1">0</definedName>
    <definedName name="solver_val" localSheetId="13" hidden="1">0</definedName>
    <definedName name="solver_val" localSheetId="7" hidden="1">0</definedName>
    <definedName name="solver_val" localSheetId="4" hidden="1">0</definedName>
    <definedName name="solver_val" localSheetId="1" hidden="1">0</definedName>
    <definedName name="solver_val" localSheetId="6" hidden="1">0</definedName>
    <definedName name="solver_val" localSheetId="16" hidden="1">0</definedName>
    <definedName name="solver_val" localSheetId="0" hidden="1">0</definedName>
    <definedName name="solver_val" localSheetId="15" hidden="1">0</definedName>
    <definedName name="solver_val" localSheetId="3" hidden="1">0</definedName>
    <definedName name="solver_val" localSheetId="2" hidden="1">0</definedName>
    <definedName name="solver_val" localSheetId="8" hidden="1">0</definedName>
    <definedName name="solver_val" localSheetId="18" hidden="1">0</definedName>
    <definedName name="solver_ver" localSheetId="5" hidden="1">3</definedName>
    <definedName name="solver_ver" localSheetId="10" hidden="1">3</definedName>
    <definedName name="solver_ver" localSheetId="14" hidden="1">3</definedName>
    <definedName name="solver_ver" localSheetId="12" hidden="1">3</definedName>
    <definedName name="solver_ver" localSheetId="11" hidden="1">3</definedName>
    <definedName name="solver_ver" localSheetId="17" hidden="1">3</definedName>
    <definedName name="solver_ver" localSheetId="9" hidden="1">3</definedName>
    <definedName name="solver_ver" localSheetId="13" hidden="1">3</definedName>
    <definedName name="solver_ver" localSheetId="7" hidden="1">3</definedName>
    <definedName name="solver_ver" localSheetId="4" hidden="1">3</definedName>
    <definedName name="solver_ver" localSheetId="1" hidden="1">3</definedName>
    <definedName name="solver_ver" localSheetId="6" hidden="1">3</definedName>
    <definedName name="solver_ver" localSheetId="16" hidden="1">3</definedName>
    <definedName name="solver_ver" localSheetId="0" hidden="1">3</definedName>
    <definedName name="solver_ver" localSheetId="15" hidden="1">3</definedName>
    <definedName name="solver_ver" localSheetId="3" hidden="1">3</definedName>
    <definedName name="solver_ver" localSheetId="2" hidden="1">3</definedName>
    <definedName name="solver_ver" localSheetId="8" hidden="1">3</definedName>
    <definedName name="solver_ver" localSheetId="1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7" l="1"/>
  <c r="R36" i="7"/>
  <c r="F19" i="2"/>
  <c r="E19" i="2"/>
  <c r="D71" i="20"/>
  <c r="H26" i="19"/>
  <c r="D35" i="17" l="1"/>
  <c r="D40" i="17"/>
  <c r="G40" i="17"/>
  <c r="G29" i="13" l="1"/>
  <c r="F29" i="13"/>
  <c r="M42" i="10"/>
  <c r="L42" i="10"/>
  <c r="D21" i="8"/>
  <c r="C21" i="8"/>
  <c r="E22" i="8"/>
  <c r="E26" i="8"/>
  <c r="E23" i="8" s="1"/>
  <c r="E20" i="8"/>
  <c r="E24" i="8" l="1"/>
  <c r="E18" i="6" l="1"/>
  <c r="D18" i="6"/>
  <c r="C18" i="6"/>
  <c r="G21" i="5"/>
  <c r="L59" i="16" l="1"/>
  <c r="G34" i="15"/>
  <c r="H34" i="15"/>
  <c r="F34" i="15"/>
  <c r="D34" i="15"/>
  <c r="E34" i="15"/>
  <c r="C34" i="15"/>
  <c r="D67" i="10"/>
  <c r="D66" i="10"/>
  <c r="E29" i="18"/>
  <c r="I36" i="18"/>
  <c r="E36" i="18"/>
  <c r="I37" i="18"/>
  <c r="K37" i="18" s="1"/>
  <c r="I38" i="18"/>
  <c r="K38" i="18" s="1"/>
  <c r="I39" i="18"/>
  <c r="K39" i="18" s="1"/>
  <c r="I40" i="18"/>
  <c r="K40" i="18" s="1"/>
  <c r="I41" i="18"/>
  <c r="K41" i="18" s="1"/>
  <c r="I42" i="18"/>
  <c r="K42" i="18" s="1"/>
  <c r="E37" i="18"/>
  <c r="E38" i="18"/>
  <c r="E39" i="18"/>
  <c r="E40" i="18"/>
  <c r="E41" i="18"/>
  <c r="E42" i="18"/>
  <c r="F56" i="16"/>
  <c r="F70" i="16" s="1"/>
  <c r="G56" i="16"/>
  <c r="G70" i="16" s="1"/>
  <c r="H56" i="16"/>
  <c r="H70" i="16" s="1"/>
  <c r="I56" i="16"/>
  <c r="I70" i="16" s="1"/>
  <c r="J56" i="16"/>
  <c r="J70" i="16" s="1"/>
  <c r="E56" i="16"/>
  <c r="E70" i="16" s="1"/>
  <c r="E59" i="16"/>
  <c r="J65" i="31"/>
  <c r="I65" i="31"/>
  <c r="H65" i="31"/>
  <c r="G65" i="31"/>
  <c r="F65" i="31"/>
  <c r="E65" i="31"/>
  <c r="J64" i="31"/>
  <c r="I64" i="31"/>
  <c r="H64" i="31"/>
  <c r="G64" i="31"/>
  <c r="F64" i="31"/>
  <c r="E64" i="31"/>
  <c r="J63" i="31"/>
  <c r="I63" i="31"/>
  <c r="H63" i="31"/>
  <c r="G63" i="31"/>
  <c r="F63" i="31"/>
  <c r="E63" i="31"/>
  <c r="J62" i="31"/>
  <c r="I62" i="31"/>
  <c r="H62" i="31"/>
  <c r="G62" i="31"/>
  <c r="F62" i="31"/>
  <c r="E62" i="31"/>
  <c r="J61" i="31"/>
  <c r="I61" i="31"/>
  <c r="H61" i="31"/>
  <c r="G61" i="31"/>
  <c r="F61" i="31"/>
  <c r="E61" i="31"/>
  <c r="J60" i="31"/>
  <c r="I60" i="31"/>
  <c r="H60" i="31"/>
  <c r="G60" i="31"/>
  <c r="F60" i="31"/>
  <c r="E60" i="31"/>
  <c r="J59" i="31"/>
  <c r="I59" i="31"/>
  <c r="H59" i="31"/>
  <c r="G59" i="31"/>
  <c r="F59" i="31"/>
  <c r="E59" i="31"/>
  <c r="J56" i="31"/>
  <c r="I56" i="31"/>
  <c r="H56" i="31"/>
  <c r="G56" i="31"/>
  <c r="F56" i="31"/>
  <c r="E56" i="31"/>
  <c r="K70" i="31" s="1"/>
  <c r="K55" i="31"/>
  <c r="K54" i="31"/>
  <c r="K53" i="31"/>
  <c r="K52" i="31"/>
  <c r="K51" i="31"/>
  <c r="K50" i="31"/>
  <c r="K49" i="31"/>
  <c r="F59" i="16"/>
  <c r="G59" i="16"/>
  <c r="H59" i="16"/>
  <c r="I59" i="16"/>
  <c r="J59" i="16"/>
  <c r="F60" i="16"/>
  <c r="G60" i="16"/>
  <c r="H60" i="16"/>
  <c r="I60" i="16"/>
  <c r="J60" i="16"/>
  <c r="F61" i="16"/>
  <c r="G61" i="16"/>
  <c r="H61" i="16"/>
  <c r="I61" i="16"/>
  <c r="J61" i="16"/>
  <c r="F62" i="16"/>
  <c r="G62" i="16"/>
  <c r="H62" i="16"/>
  <c r="I62" i="16"/>
  <c r="J62" i="16"/>
  <c r="F63" i="16"/>
  <c r="G63" i="16"/>
  <c r="H63" i="16"/>
  <c r="I63" i="16"/>
  <c r="J63" i="16"/>
  <c r="F64" i="16"/>
  <c r="G64" i="16"/>
  <c r="H64" i="16"/>
  <c r="I64" i="16"/>
  <c r="J64" i="16"/>
  <c r="F65" i="16"/>
  <c r="G65" i="16"/>
  <c r="H65" i="16"/>
  <c r="I65" i="16"/>
  <c r="J65" i="16"/>
  <c r="E60" i="16"/>
  <c r="E61" i="16"/>
  <c r="E62" i="16"/>
  <c r="E63" i="16"/>
  <c r="E64" i="16"/>
  <c r="E65" i="16"/>
  <c r="K49" i="16"/>
  <c r="E43" i="20"/>
  <c r="E18" i="21"/>
  <c r="D28" i="19"/>
  <c r="M44" i="10"/>
  <c r="C51" i="15"/>
  <c r="D51" i="15"/>
  <c r="K50" i="16"/>
  <c r="K51" i="16"/>
  <c r="K52" i="16"/>
  <c r="K53" i="16"/>
  <c r="K54" i="16"/>
  <c r="K55" i="16"/>
  <c r="L36" i="15"/>
  <c r="L18" i="21"/>
  <c r="I15" i="21"/>
  <c r="H16" i="21"/>
  <c r="E16" i="21"/>
  <c r="F16" i="21"/>
  <c r="G16" i="21"/>
  <c r="D16" i="21"/>
  <c r="I6" i="21"/>
  <c r="I7" i="21"/>
  <c r="I8" i="21"/>
  <c r="I9" i="21"/>
  <c r="I10" i="21"/>
  <c r="I11" i="21"/>
  <c r="I12" i="21"/>
  <c r="I13" i="21"/>
  <c r="I14" i="21"/>
  <c r="D18" i="21"/>
  <c r="D43" i="20"/>
  <c r="H71" i="20"/>
  <c r="E71" i="20"/>
  <c r="F71" i="20"/>
  <c r="G71" i="20"/>
  <c r="I31" i="20"/>
  <c r="I32" i="20"/>
  <c r="I33" i="20"/>
  <c r="I34" i="20"/>
  <c r="I35" i="20"/>
  <c r="I36" i="20"/>
  <c r="I37" i="20"/>
  <c r="I38" i="20"/>
  <c r="I39" i="20"/>
  <c r="I40" i="20"/>
  <c r="E41" i="20"/>
  <c r="F41" i="20"/>
  <c r="G41" i="20"/>
  <c r="H41" i="20"/>
  <c r="D41" i="20"/>
  <c r="I32" i="19"/>
  <c r="I31" i="19"/>
  <c r="I30" i="19"/>
  <c r="F32" i="19"/>
  <c r="H32" i="19" s="1"/>
  <c r="F31" i="19"/>
  <c r="H31" i="19" s="1"/>
  <c r="F30" i="19"/>
  <c r="H30" i="19" s="1"/>
  <c r="F27" i="19"/>
  <c r="F26" i="19"/>
  <c r="E22" i="11"/>
  <c r="E20" i="11"/>
  <c r="E23" i="11"/>
  <c r="I37" i="15"/>
  <c r="G53" i="15"/>
  <c r="G52" i="15"/>
  <c r="G51" i="15"/>
  <c r="G54" i="15"/>
  <c r="D41" i="17"/>
  <c r="E41" i="17"/>
  <c r="F41" i="17"/>
  <c r="D42" i="17"/>
  <c r="E42" i="17"/>
  <c r="F42" i="17"/>
  <c r="F40" i="17"/>
  <c r="E40" i="17"/>
  <c r="D36" i="17"/>
  <c r="D37" i="17"/>
  <c r="E24" i="17"/>
  <c r="F24" i="17"/>
  <c r="D24" i="17"/>
  <c r="D52" i="15"/>
  <c r="D53" i="15"/>
  <c r="D54" i="15"/>
  <c r="D55" i="15"/>
  <c r="L33" i="15"/>
  <c r="C54" i="15" s="1"/>
  <c r="K33" i="15"/>
  <c r="F53" i="15" s="1"/>
  <c r="D50" i="10"/>
  <c r="F26" i="12"/>
  <c r="F27" i="12"/>
  <c r="F28" i="12"/>
  <c r="F25" i="12"/>
  <c r="F22" i="12"/>
  <c r="E16" i="5"/>
  <c r="E21" i="5"/>
  <c r="F17" i="6"/>
  <c r="D18" i="14"/>
  <c r="D17" i="14"/>
  <c r="C18" i="14"/>
  <c r="E18" i="14" s="1"/>
  <c r="C17" i="14"/>
  <c r="E17" i="14" s="1"/>
  <c r="E14" i="14"/>
  <c r="F23" i="13"/>
  <c r="F30" i="13"/>
  <c r="E50" i="10"/>
  <c r="F50" i="10"/>
  <c r="G50" i="10"/>
  <c r="H50" i="10"/>
  <c r="I50" i="10"/>
  <c r="J50" i="10"/>
  <c r="E38" i="10"/>
  <c r="F38" i="10"/>
  <c r="G38" i="10"/>
  <c r="H38" i="10"/>
  <c r="I38" i="10"/>
  <c r="J38" i="10"/>
  <c r="D38" i="10"/>
  <c r="M43" i="10"/>
  <c r="M45" i="10"/>
  <c r="K35" i="10"/>
  <c r="L43" i="10" s="1"/>
  <c r="K36" i="10"/>
  <c r="G55" i="10" s="1"/>
  <c r="K37" i="10"/>
  <c r="L45" i="10" s="1"/>
  <c r="K34" i="10"/>
  <c r="E18" i="8"/>
  <c r="E32" i="8"/>
  <c r="D39" i="7"/>
  <c r="D40" i="7"/>
  <c r="D41" i="7"/>
  <c r="D42" i="7"/>
  <c r="E20" i="5"/>
  <c r="F15" i="6"/>
  <c r="E18" i="5"/>
  <c r="F13" i="6"/>
  <c r="K65" i="31" l="1"/>
  <c r="L59" i="31" s="1"/>
  <c r="K65" i="16"/>
  <c r="M46" i="10"/>
  <c r="J36" i="18"/>
  <c r="G36" i="18" s="1"/>
  <c r="F36" i="18" s="1"/>
  <c r="H36" i="18" s="1"/>
  <c r="K36" i="18"/>
  <c r="L36" i="18" s="1"/>
  <c r="L37" i="18"/>
  <c r="L38" i="18"/>
  <c r="L42" i="18"/>
  <c r="L41" i="18"/>
  <c r="L40" i="18"/>
  <c r="L39" i="18"/>
  <c r="J41" i="18"/>
  <c r="G41" i="18" s="1"/>
  <c r="J40" i="18"/>
  <c r="G40" i="18" s="1"/>
  <c r="J39" i="18"/>
  <c r="G39" i="18" s="1"/>
  <c r="J37" i="18"/>
  <c r="G37" i="18" s="1"/>
  <c r="J42" i="18"/>
  <c r="G42" i="18" s="1"/>
  <c r="J38" i="18"/>
  <c r="G38" i="18" s="1"/>
  <c r="K70" i="16"/>
  <c r="L44" i="10"/>
  <c r="L46" i="10" s="1"/>
  <c r="K38" i="10"/>
  <c r="E41" i="15"/>
  <c r="E40" i="15"/>
  <c r="E36" i="15"/>
  <c r="C52" i="15"/>
  <c r="C53" i="15"/>
  <c r="F54" i="15"/>
  <c r="F52" i="15"/>
  <c r="F51" i="15"/>
  <c r="G41" i="17"/>
  <c r="G26" i="17"/>
  <c r="G42" i="17"/>
  <c r="C55" i="15"/>
  <c r="D40" i="10"/>
  <c r="E67" i="10" s="1"/>
  <c r="G17" i="6"/>
  <c r="F21" i="9"/>
  <c r="F28" i="9"/>
  <c r="F25" i="9"/>
  <c r="F26" i="9"/>
  <c r="F27" i="9"/>
  <c r="F24" i="9"/>
  <c r="G22" i="5"/>
  <c r="E22" i="5"/>
  <c r="E17" i="2"/>
  <c r="E22" i="2"/>
  <c r="H22" i="2" s="1"/>
  <c r="E20" i="2"/>
  <c r="H20" i="2" s="1"/>
  <c r="E21" i="2"/>
  <c r="H21" i="2" s="1"/>
  <c r="H19" i="2"/>
  <c r="F22" i="2"/>
  <c r="F21" i="2"/>
  <c r="F20" i="2"/>
  <c r="E30" i="18" l="1"/>
  <c r="F38" i="18"/>
  <c r="H38" i="18" s="1"/>
  <c r="F39" i="18"/>
  <c r="H39" i="18" s="1"/>
  <c r="F37" i="18"/>
  <c r="H37" i="18" s="1"/>
  <c r="F41" i="18"/>
  <c r="H41" i="18" s="1"/>
  <c r="F42" i="18"/>
  <c r="H42" i="18" s="1"/>
  <c r="F40" i="18"/>
  <c r="H40" i="18" s="1"/>
  <c r="E33" i="8"/>
  <c r="E33" i="18" l="1"/>
  <c r="E32" i="18"/>
  <c r="D28" i="18" l="1"/>
</calcChain>
</file>

<file path=xl/sharedStrings.xml><?xml version="1.0" encoding="utf-8"?>
<sst xmlns="http://schemas.openxmlformats.org/spreadsheetml/2006/main" count="957" uniqueCount="441">
  <si>
    <t>A</t>
  </si>
  <si>
    <t>B</t>
  </si>
  <si>
    <t>OBJ FCT</t>
  </si>
  <si>
    <t>Answer:</t>
  </si>
  <si>
    <t>DVs:</t>
  </si>
  <si>
    <t>Quantity:</t>
  </si>
  <si>
    <t>MAX:</t>
  </si>
  <si>
    <t>Microsoft Excel 16.0 Sensitivity Report</t>
  </si>
  <si>
    <t>Variable Cells</t>
  </si>
  <si>
    <t>Final</t>
  </si>
  <si>
    <t>Reduced</t>
  </si>
  <si>
    <t>Objective</t>
  </si>
  <si>
    <t>Allowable</t>
  </si>
  <si>
    <t>Cell</t>
  </si>
  <si>
    <t>Name</t>
  </si>
  <si>
    <t>Value</t>
  </si>
  <si>
    <t>Cost</t>
  </si>
  <si>
    <t>Coefficient</t>
  </si>
  <si>
    <t>Increase</t>
  </si>
  <si>
    <t>Decrease</t>
  </si>
  <si>
    <t>Constraints</t>
  </si>
  <si>
    <t>Shadow</t>
  </si>
  <si>
    <t>Constraint</t>
  </si>
  <si>
    <t>Price</t>
  </si>
  <si>
    <t>R.H. Side</t>
  </si>
  <si>
    <t>&lt;=</t>
  </si>
  <si>
    <t>Your company manufactures two types of golf bags, Standard and Deluxe.  You make $10 profit per Standard bag, and $9 profit per Deluxe bag that you sell.</t>
  </si>
  <si>
    <t>Cutting and Dyeing</t>
  </si>
  <si>
    <t>Sewing</t>
  </si>
  <si>
    <t>Finishing</t>
  </si>
  <si>
    <t>Inspection and Packaging</t>
  </si>
  <si>
    <t>Standard</t>
  </si>
  <si>
    <t>Deluxe</t>
  </si>
  <si>
    <t>How many of each bag type should you manufacture over the next three months in order to maximize profit?</t>
  </si>
  <si>
    <t xml:space="preserve">Your company produces bike frames using two different material blend, Professional grade and Standard grade.  The cost per yard of the blends are $7.50 per yard for Standard and $9.00 per yard for Professional.  </t>
  </si>
  <si>
    <t>The material content (in percent) of your blends are given in the following table:</t>
  </si>
  <si>
    <t>Professional</t>
  </si>
  <si>
    <t>Fiberglass</t>
  </si>
  <si>
    <t>Carbon Fiber</t>
  </si>
  <si>
    <t>Kevlar</t>
  </si>
  <si>
    <t xml:space="preserve">You have a new contract to produce bike frames that require 30 total yards of material per frame.  The frames must have a carbon fiber content of at least 20%, and a Kevlar content of not more than 10%. </t>
  </si>
  <si>
    <t>How many yards of each material blend (Standard and Professional) should go into each frame in order to minimize cost?</t>
  </si>
  <si>
    <r>
      <t xml:space="preserve">Production times (in </t>
    </r>
    <r>
      <rPr>
        <i/>
        <u/>
        <sz val="11"/>
        <color theme="1"/>
        <rFont val="Calibri"/>
        <family val="2"/>
        <scheme val="minor"/>
      </rPr>
      <t>minutes</t>
    </r>
    <r>
      <rPr>
        <sz val="11"/>
        <color theme="1"/>
        <rFont val="Calibri"/>
        <family val="2"/>
        <scheme val="minor"/>
      </rPr>
      <t>) of each bag type are shown below, based on data you have collected from your assembly line.</t>
    </r>
  </si>
  <si>
    <r>
      <t xml:space="preserve">Over the next 3 months, you estimate you have 630 </t>
    </r>
    <r>
      <rPr>
        <i/>
        <u/>
        <sz val="11"/>
        <color theme="1"/>
        <rFont val="Calibri"/>
        <family val="2"/>
        <scheme val="minor"/>
      </rPr>
      <t>hours</t>
    </r>
    <r>
      <rPr>
        <sz val="11"/>
        <color theme="1"/>
        <rFont val="Calibri"/>
        <family val="2"/>
        <scheme val="minor"/>
      </rPr>
      <t xml:space="preserve"> of cutting and dyeing time, 600 hours of sewing time, 708 hours of finishing time, and 135 hours of inspection and packaging time available.</t>
    </r>
  </si>
  <si>
    <t>S</t>
  </si>
  <si>
    <t>D</t>
  </si>
  <si>
    <t>ST:</t>
  </si>
  <si>
    <t>CT:</t>
  </si>
  <si>
    <t>SW:</t>
  </si>
  <si>
    <t>FN:</t>
  </si>
  <si>
    <t>IP:</t>
  </si>
  <si>
    <t>Slack</t>
  </si>
  <si>
    <t>F</t>
  </si>
  <si>
    <t>C</t>
  </si>
  <si>
    <t>MIN:</t>
  </si>
  <si>
    <t>PG</t>
  </si>
  <si>
    <t>SG</t>
  </si>
  <si>
    <t>CF</t>
  </si>
  <si>
    <t>K</t>
  </si>
  <si>
    <t>&gt;=</t>
  </si>
  <si>
    <t>=</t>
  </si>
  <si>
    <t>Your company manages investments for your clients, where you build portfolios based on anticipated yield and risk.  (Yield and risk are generally based on historical performance of the investment instruments.)</t>
  </si>
  <si>
    <t xml:space="preserve">The three instruments you are considering for a client are growth, income, and money market funds, which you determine to have risks of .1, .05, and .01 respectively.  Furthermore, you project the yields of these funds to be 20%, 10%, and 6% respectively.  </t>
  </si>
  <si>
    <t>Your client insists that you diversify, with at least 10% in each of the growth and income funds, and at least 20% in the money market fund.</t>
  </si>
  <si>
    <t>Your client wants to assume no more that 5% risk, where overall risk is calculated based on a weighted average of the risks of each individual instrument, and where the weightings are the percents of the investment that go towards each instrument.</t>
  </si>
  <si>
    <t>If your client has $1,000,000 to invest, how should you allocate his funds?</t>
  </si>
  <si>
    <t>How much can your yield estimates for each instrument change (individually) before you have to change this allocation?</t>
  </si>
  <si>
    <t xml:space="preserve">Project Selection </t>
  </si>
  <si>
    <t>YEAR</t>
  </si>
  <si>
    <t>FUNDS</t>
  </si>
  <si>
    <t>The project proposals (for a total of fifteen possible projects) are as follows:</t>
  </si>
  <si>
    <t>Project</t>
  </si>
  <si>
    <t>Profit</t>
  </si>
  <si>
    <t>What project selection should your company choose?  (You decide what criterion to use, but recall that this is not the Daniels College of Philanthropy.)</t>
  </si>
  <si>
    <t xml:space="preserve">Your company is prepared to undertake several new projects over the next five years.  Each Division has submitted a number of project proposals that include the annual budgets and anticipated profit.  </t>
  </si>
  <si>
    <t>Your company’s annual budgets for the next five years are as follows.  (Amounts are X$1000)</t>
  </si>
  <si>
    <t xml:space="preserve">Your company manufactures printer cases on two different injection molding machines.  The M-100 has a capacity of 25 cases per hour, and the M-200 has a capacity of 40 cases per hour.  </t>
  </si>
  <si>
    <t>Both machines use the same chemicals in the manufacturing process; the M-100 uses 40 pounds of material per hour, and the M-200 uses 50 pounds per hour.</t>
  </si>
  <si>
    <t>Your client has asked you to produce as many cases as possible next week, and they will pay $18 for every case you can deliver.</t>
  </si>
  <si>
    <t xml:space="preserve">That last sentence has the potential to make this an interesting problem.  </t>
  </si>
  <si>
    <t>The operating costs of the machines are $50/hour for the M-100 and $75/hour for the M-200.</t>
  </si>
  <si>
    <t xml:space="preserve">Your chemical supplier has 1000 pounds of chemicals available next week at a cost of $6 per pound.  </t>
  </si>
  <si>
    <t>What is your business decision for next week, and how much profit will it generate?</t>
  </si>
  <si>
    <t xml:space="preserve">Unfortunately, you had scheduled maintenance down-time for both of your machines next week, so the M-100 will only be available for 15 hours maximum, and the M-200 will only be available for 10 hours maximum.  </t>
  </si>
  <si>
    <t>However, due to the high setup costs, if you run either machine during the week, they must run for a minimum of 5 hours.</t>
  </si>
  <si>
    <t>Casings Stamped per hour</t>
  </si>
  <si>
    <t>Machines</t>
  </si>
  <si>
    <t>Type1</t>
  </si>
  <si>
    <t>Type2</t>
  </si>
  <si>
    <t>Type3</t>
  </si>
  <si>
    <t>Type4</t>
  </si>
  <si>
    <t>Type5</t>
  </si>
  <si>
    <t>I</t>
  </si>
  <si>
    <t>II</t>
  </si>
  <si>
    <t>III</t>
  </si>
  <si>
    <t>You have the following hourly production demands for each type of casing:</t>
  </si>
  <si>
    <t>ProdGoal</t>
  </si>
  <si>
    <t>In order to most efficiently meet your production needs, how many of each type of machine should you buy, and what is the total cost?</t>
  </si>
  <si>
    <t xml:space="preserve">Your Company makes five types of metal casings for laptops, and you are in the process of replacing your current equipment with state-of-the-art stamping machines (the RoboI, RoboII, and RoboIII).  </t>
  </si>
  <si>
    <t>The machines cost $18,500, $25,000, and $35,000 respectively.  Once you program each machine, it can stamp the following number of each type of casing per hour:</t>
  </si>
  <si>
    <t>M1</t>
  </si>
  <si>
    <t>M2</t>
  </si>
  <si>
    <t>M3</t>
  </si>
  <si>
    <t xml:space="preserve">Answer: </t>
  </si>
  <si>
    <t>G</t>
  </si>
  <si>
    <t>MM</t>
  </si>
  <si>
    <t>OBJ FCT:</t>
  </si>
  <si>
    <t>R</t>
  </si>
  <si>
    <t>Worksheet: [INFO_4240_1_Portfolio 1_Anugya Mishra.xlsx]Investment Portfolios</t>
  </si>
  <si>
    <t>Quantity: G</t>
  </si>
  <si>
    <t>Quantity: I</t>
  </si>
  <si>
    <t>Quantity: MM</t>
  </si>
  <si>
    <t>Q</t>
  </si>
  <si>
    <t>Funds</t>
  </si>
  <si>
    <t>M-100</t>
  </si>
  <si>
    <t>M-200</t>
  </si>
  <si>
    <t>Hrs</t>
  </si>
  <si>
    <t>MAX</t>
  </si>
  <si>
    <t>Chem</t>
  </si>
  <si>
    <t>Chemical Cost:</t>
  </si>
  <si>
    <t>Operating Cost:</t>
  </si>
  <si>
    <t>Profit:</t>
  </si>
  <si>
    <t>Report Created: 1/16/2024 7:16:19 PM</t>
  </si>
  <si>
    <t>Minimum Investment</t>
  </si>
  <si>
    <t>Revenue:</t>
  </si>
  <si>
    <t>(Max hours of operation possible)</t>
  </si>
  <si>
    <t>(Min hours, if either is run)</t>
  </si>
  <si>
    <t>Shipping Costs</t>
  </si>
  <si>
    <t xml:space="preserve"> (Dollars per unit)</t>
  </si>
  <si>
    <t>Plants</t>
  </si>
  <si>
    <t>Tacoma</t>
  </si>
  <si>
    <t>San Diego</t>
  </si>
  <si>
    <t>Dallas</t>
  </si>
  <si>
    <t>Denver</t>
  </si>
  <si>
    <t>St. Louis</t>
  </si>
  <si>
    <t>Tampa</t>
  </si>
  <si>
    <t>Baltimore</t>
  </si>
  <si>
    <t>Macon</t>
  </si>
  <si>
    <t>Louisville</t>
  </si>
  <si>
    <t>Detroit</t>
  </si>
  <si>
    <t>Phoenix</t>
  </si>
  <si>
    <t>The anticipated demand at each distributor for the next year is as follows:</t>
  </si>
  <si>
    <t>DEMAND:</t>
  </si>
  <si>
    <t>The costs (in dollars) of manufacturing a lock at each location, and the annual capacities of each factor, are as follows:</t>
  </si>
  <si>
    <t>Capacity</t>
  </si>
  <si>
    <t>Cost/Unit</t>
  </si>
  <si>
    <t>If there is any unused capacity at any plant, how should that best be used and distributed?</t>
  </si>
  <si>
    <t xml:space="preserve">Your company manufactures commercial security locks at four factories in Macon, Louisville, Detroit, and Phoenix.  You have seven wholesale distributors in seven cities across the country. </t>
  </si>
  <si>
    <t>The costs of shipping a lock from a factory to a distributor is shown in the following table:</t>
  </si>
  <si>
    <t xml:space="preserve">You know you will not fill all of your orders, but you would like to fill at least 80% of the demand at each location. </t>
  </si>
  <si>
    <t xml:space="preserve"> How many locks should be manufactured at each location, and where should they be shipped?</t>
  </si>
  <si>
    <t>Crushing Rocks</t>
  </si>
  <si>
    <t>What is your business decision?</t>
  </si>
  <si>
    <t>The Keyesport Quarry has two different pits from which it obtains rock. The rock is run through a crusher to produce two products: concrete grade stone and road surface chat.</t>
  </si>
  <si>
    <t xml:space="preserve"> Each ton of rock from the South pit converts into 0.75 tons of stone and 0.25 tons of chat when crushed. Rock from the North pit is of different quality. When it is crushed, it produces a “50-50” split of stone and chat. </t>
  </si>
  <si>
    <t>The Quarry has contracts for 60 tons of stone and 40 tons of chat this planning period. The cost per ton of extracting and crushing rock from the South pit is 1.6 times as costly as from the North pit.</t>
  </si>
  <si>
    <t>You own a large machine that pulverizes rock, because: “Why Not?”  Actually, it’s part of a mining operation where you extract rock from the ground and you crush it into small rocks that can be bundled and sold as construction materials</t>
  </si>
  <si>
    <t>The materials you sell have four grades:  Limestone, Chat, Redi-Mix, and Rough.</t>
  </si>
  <si>
    <t>Limestone</t>
  </si>
  <si>
    <t>Chat</t>
  </si>
  <si>
    <t>Redi-Mix</t>
  </si>
  <si>
    <t>Rough</t>
  </si>
  <si>
    <t>Operating Cost/Ton</t>
  </si>
  <si>
    <t>Fine</t>
  </si>
  <si>
    <t>Medium</t>
  </si>
  <si>
    <t>Coarse</t>
  </si>
  <si>
    <t>How many tons of rock should you process on each setting, and what will the total processing cost be for the coming week?</t>
  </si>
  <si>
    <t xml:space="preserve">Your machine has three settings:  Fine, Medium, and Coarse.  The following table shows the resulting grades (in tons) produced from one ton of input rock based on the settings, </t>
  </si>
  <si>
    <t>in addition to showing the cost per ton of running the machine on each setting. (You only process rock in one-ton increments.)</t>
  </si>
  <si>
    <t xml:space="preserve">Your orders for each grade for the next week include 50 tons of Limestone, 60 tons of Chat, 70 tons of Redi-Mix, and 30 tons of Rough.  </t>
  </si>
  <si>
    <t xml:space="preserve">You need to determine how many tons of rock you should process at each setting to most economically meet your demand.  </t>
  </si>
  <si>
    <t xml:space="preserve">However, because of the high cost of reconfiguring the machine, you must process a minimum of 50 tons of rock on a setting if you decide to use that setting.  </t>
  </si>
  <si>
    <t>The surgical unit of a small clinic is becoming more concerned about finances. The clinic cannot control or set many of the important factors that determine its financial health. For example, the length of stay in the hospital for a given type of surgery is determined in large part by government regulation. The amount that can be charged for a given type of surgical procedure is controlled largely by the combination of the market and government regulation. The clinic’s surgical procedures are elective (see below), so they have considerable control over which patients and associated procedures are attracted and admitted to the hospital. The surgical unit has effectively two scarce resources, the hospital beds available to it (70 in a typical week), and the surgical suite hours available (165 hours in a typical week). Patients admitted to this surgical unit can be classified into the following three categories:</t>
  </si>
  <si>
    <t>Patient Type</t>
  </si>
  <si>
    <t>Days of Stay</t>
  </si>
  <si>
    <t xml:space="preserve">Surgical Suite Hours </t>
  </si>
  <si>
    <t>Financial Contribution</t>
  </si>
  <si>
    <t>Face Lift</t>
  </si>
  <si>
    <t>Lipo</t>
  </si>
  <si>
    <t>Implants</t>
  </si>
  <si>
    <t>Your company manufactures two products, bird food and dog food. You have two departments: blending and packaging. The requirements in each department for manufacturing a ton of either product are shown in hours in the following table:</t>
  </si>
  <si>
    <t>Hours per Tons of Product</t>
  </si>
  <si>
    <t xml:space="preserve">Blending </t>
  </si>
  <si>
    <t>Packaging</t>
  </si>
  <si>
    <t>Bird food</t>
  </si>
  <si>
    <t xml:space="preserve">Dog food </t>
  </si>
  <si>
    <t>Each department has 8 hours available per day.</t>
  </si>
  <si>
    <t>Bird food is made from the three ingredients: seeds, ground stones, and cereal. Dog food is made from the three ingredients: meat, fishmeal, and cereal. Descriptions of these five materials are as follows.</t>
  </si>
  <si>
    <t>Descriptions of Materials in Percents</t>
  </si>
  <si>
    <t>Protein</t>
  </si>
  <si>
    <t>Carbohydrates</t>
  </si>
  <si>
    <t>Trace Minerals</t>
  </si>
  <si>
    <t xml:space="preserve">Abrasives </t>
  </si>
  <si>
    <t>Cost (in $/ton)</t>
  </si>
  <si>
    <t>Seeds</t>
  </si>
  <si>
    <t>Stones</t>
  </si>
  <si>
    <t>Cereal</t>
  </si>
  <si>
    <t xml:space="preserve">Meat </t>
  </si>
  <si>
    <t>Fishmeal</t>
  </si>
  <si>
    <t>The minimum composition requirements of the two products in percents are as follows:</t>
  </si>
  <si>
    <t>Composition Requirements of the Products in Percents</t>
  </si>
  <si>
    <t>Abrasives</t>
  </si>
  <si>
    <t xml:space="preserve">Bird food </t>
  </si>
  <si>
    <t>Bird food sells for $750 per ton while dog food sells for $980 per ton. What should be the composition of bird food and dog food and how much of each should be manufactured each day?</t>
  </si>
  <si>
    <t>What is the resulting daily profit?</t>
  </si>
  <si>
    <t>Cases</t>
  </si>
  <si>
    <t>Hours</t>
  </si>
  <si>
    <t>(Revenue)</t>
  </si>
  <si>
    <t>Quantity</t>
  </si>
  <si>
    <t>MIN</t>
  </si>
  <si>
    <t>Shipping Cost</t>
  </si>
  <si>
    <t>Manufacturing Cost</t>
  </si>
  <si>
    <t>Total</t>
  </si>
  <si>
    <t>CGS</t>
  </si>
  <si>
    <t>RSC</t>
  </si>
  <si>
    <t>NP</t>
  </si>
  <si>
    <t>SP</t>
  </si>
  <si>
    <t>Cost/ton</t>
  </si>
  <si>
    <t>DVs</t>
  </si>
  <si>
    <t xml:space="preserve">For example, each Lipo patient admitted will use 5 days of the 7 × 70 = 490 bed-days available each week, and 1.5 hours of the 165 surgical suite hours available each week. </t>
  </si>
  <si>
    <t xml:space="preserve">One doctor has argued that the surgical unit should try to admit more Face Lift patients. Her argument is that, “in terms of $/days of stay, Face Lifts are clearly the best, while in terms of $/(surgical suite hour), </t>
  </si>
  <si>
    <t>they are not much worse than Lipo and Implants.”</t>
  </si>
  <si>
    <t xml:space="preserve">Suppose the surgical unit can in fact control the number of each type of patient admitted each week (since, clearly, demand from the Kardashian family alone exceeds capacity). </t>
  </si>
  <si>
    <t>How many of each type patient should be admitted each week?  What will the profit be?</t>
  </si>
  <si>
    <t>No. of Patients</t>
  </si>
  <si>
    <t>&lt;--financial contribution only</t>
  </si>
  <si>
    <t>Fin cont</t>
  </si>
  <si>
    <t>fin cont/days of stay</t>
  </si>
  <si>
    <t>Scenario 1</t>
  </si>
  <si>
    <t>Scenario 2</t>
  </si>
  <si>
    <t>max fin con</t>
  </si>
  <si>
    <t>Max fin con per days of stay</t>
  </si>
  <si>
    <t xml:space="preserve">Quart Industries produces a variety of bottled food products at its various plants. At its Americus plant, it produces two products, peanut butter and apple butter. </t>
  </si>
  <si>
    <t xml:space="preserve">There are two scarce resources at this plant: packaging capacity and sterilization capacity. Both have a capacity of 40 hours per week. </t>
  </si>
  <si>
    <t xml:space="preserve">Production of 1000 jars of peanut butter requires 4 hours of sterilizer time and 5 hours of packaging time, whereas it takes 6 hours of sterilizer time and 4 hours of packaging time to produce 1000 jars of apple butter. </t>
  </si>
  <si>
    <t>The profit contributions per 1000 jars for the two products are $1100 and $1300, respectively.</t>
  </si>
  <si>
    <t xml:space="preserve"> Apple butter preparation requires a boil-down process best done in batches of at least 5000 jars. Thus, apple butter production during the week should be either 0, or 5000 or more jars. </t>
  </si>
  <si>
    <t>How much should be produced this week of each product?  What is the profit?</t>
  </si>
  <si>
    <t>AB</t>
  </si>
  <si>
    <t>PB</t>
  </si>
  <si>
    <t>Sterilization time</t>
  </si>
  <si>
    <t>Packagine time</t>
  </si>
  <si>
    <t>Scenario 1=no constraint</t>
  </si>
  <si>
    <t>Scenario 2=0 AB</t>
  </si>
  <si>
    <t>Scenario 3=5000 AB</t>
  </si>
  <si>
    <t>St time</t>
  </si>
  <si>
    <t>Pkg Time</t>
  </si>
  <si>
    <t>Quantity(tons)</t>
  </si>
  <si>
    <t>If used, min rocks processed (tons)</t>
  </si>
  <si>
    <t>Scenario 1-no constraints</t>
  </si>
  <si>
    <t>Scenario 3: medium production =0</t>
  </si>
  <si>
    <t>Costs</t>
  </si>
  <si>
    <t>Scenario 2-Min. medium production =50</t>
  </si>
  <si>
    <t>if produced, min batch</t>
  </si>
  <si>
    <t>-</t>
  </si>
  <si>
    <t>Seed</t>
  </si>
  <si>
    <t>Meat</t>
  </si>
  <si>
    <t>Total Demand</t>
  </si>
  <si>
    <t>Total Dog Food</t>
  </si>
  <si>
    <t>Total Bird Food</t>
  </si>
  <si>
    <t xml:space="preserve">A major credit card company (call it “MasterDebt”) receives checks from all different regions in the country on a daily basis.  </t>
  </si>
  <si>
    <t xml:space="preserve">Once these checks are mailed, the time a check spends in the mail (called “float”) creates loss for MasterDebt, for as soon as they receive the checks they can cash them and collect interest on the funds.  </t>
  </si>
  <si>
    <t>MasterDebt can make 15% annual interest on their cash holdings (since that’s what they charge their customers in credit card interest).</t>
  </si>
  <si>
    <t xml:space="preserve">In order to reduce the amount of float loss for these checks, MasterDebt is considering opening “Lockbox” locations across the country where the checks can be received and processed.  </t>
  </si>
  <si>
    <t>The locations and the projected annual cost of operations (labor and overhead) at each location are as follows:</t>
  </si>
  <si>
    <t>ANNUAL COSTS (X$1000)</t>
  </si>
  <si>
    <t>Sacramento</t>
  </si>
  <si>
    <t>Chicago</t>
  </si>
  <si>
    <t xml:space="preserve">New York </t>
  </si>
  <si>
    <t>Atlanta</t>
  </si>
  <si>
    <t>The average number of days that a check would float between each region and each lockbox location is shown in the following chart.</t>
  </si>
  <si>
    <t>REGION</t>
  </si>
  <si>
    <t>Central</t>
  </si>
  <si>
    <t>Mid-Atlantic</t>
  </si>
  <si>
    <t>Midwest</t>
  </si>
  <si>
    <t>Northeast</t>
  </si>
  <si>
    <t>Northwest</t>
  </si>
  <si>
    <t>Southeast</t>
  </si>
  <si>
    <t>Southwest</t>
  </si>
  <si>
    <t>Average Float Days</t>
  </si>
  <si>
    <t>The average daily payments received from each region are shown in the following chart (in thousands of dollars).</t>
  </si>
  <si>
    <t>Payments</t>
  </si>
  <si>
    <t>Where should MasterDebt open lockbox locations in order to save the most money each year?</t>
  </si>
  <si>
    <t>Which regions should be assigned to those lockbox locations?  (This will be implemented by providing different return addresses on the payment envelopes that are sent to the different regions.)</t>
  </si>
  <si>
    <t>Does anybody on the planet still pay their credit card bills by mailing in checks?</t>
  </si>
  <si>
    <t xml:space="preserve">The annual interest lost can be computed for each region-lockbox location by taking the average daily payments times the float time and multiplying by fifteen percent.  </t>
  </si>
  <si>
    <t>For example, if payments from the Central region are sent to New York, then on any given day there is an average of $135,000 of undeposited checks, which costs MasterDebt $20,250 annually in interest.</t>
  </si>
  <si>
    <t>You operate three farms in Colorado. The acreage and irrigation water available for the three farms are shown below:</t>
  </si>
  <si>
    <t>Water Available</t>
  </si>
  <si>
    <t xml:space="preserve">Farm </t>
  </si>
  <si>
    <t xml:space="preserve">Acreage </t>
  </si>
  <si>
    <t>(acre feet)</t>
  </si>
  <si>
    <t>Three crops can be grown. However, the maximum acreage that can be grown of each crop is limited by the amount of appropriate harvesting equipment available. The three crops are described below:</t>
  </si>
  <si>
    <t xml:space="preserve">Milo </t>
  </si>
  <si>
    <t xml:space="preserve">Cotton </t>
  </si>
  <si>
    <t xml:space="preserve">Wheat </t>
  </si>
  <si>
    <t>If any combination of crops can be grown on each farm (within the constraints) then what should you plant on each farm?  What will the resulting profit be?</t>
  </si>
  <si>
    <t>Crop</t>
  </si>
  <si>
    <t>Total Harvesting Capacity (in acres)</t>
  </si>
  <si>
    <t>Water Requirements (in acres-feet/acre)</t>
  </si>
  <si>
    <t>Expected Profit (in $/acre)</t>
  </si>
  <si>
    <t>Vehicle Type</t>
  </si>
  <si>
    <t>Daily fixed cost</t>
  </si>
  <si>
    <t>Daily variable cost (if used)</t>
  </si>
  <si>
    <t xml:space="preserve">Owned Light </t>
  </si>
  <si>
    <t xml:space="preserve">Owned Heavy </t>
  </si>
  <si>
    <t xml:space="preserve">Rented Light </t>
  </si>
  <si>
    <t xml:space="preserve">Rented Heavy </t>
  </si>
  <si>
    <t>At a particular site, your company collected demand data for the number of vehicles required on each of seven days:</t>
  </si>
  <si>
    <t xml:space="preserve">Day </t>
  </si>
  <si>
    <t xml:space="preserve">Lights </t>
  </si>
  <si>
    <t>Heavies</t>
  </si>
  <si>
    <t>Based on just the above data, what is your recommendation for the number of vehicles to own of each type at this site?  What is your weekly cost?</t>
  </si>
  <si>
    <t>Bird Food</t>
  </si>
  <si>
    <t>Dog Food</t>
  </si>
  <si>
    <t>Daily Profit</t>
  </si>
  <si>
    <t>Location</t>
  </si>
  <si>
    <t>Farm</t>
  </si>
  <si>
    <t>in tons</t>
  </si>
  <si>
    <t>Total Grown</t>
  </si>
  <si>
    <t>Acreage Available</t>
  </si>
  <si>
    <t>Acres Used</t>
  </si>
  <si>
    <t>Water Used</t>
  </si>
  <si>
    <t>Water Available (acre feet)</t>
  </si>
  <si>
    <t xml:space="preserve">Your company keeps fleets of vehicles at a number of sites around the country. At each site the vehicles can be classified into two types: light and heavy. </t>
  </si>
  <si>
    <t xml:space="preserve">A heavy vehicle costs more per day, but it can do any task that a light vehicle can do. You would like to determine what mix of vehicles your company should have at each site. </t>
  </si>
  <si>
    <t>If you do not have enough vehicles of the appropriate size to meet the demand on a given day, you must rent the vehicles. Some cost data were collected on the cost of various vehicle types:</t>
  </si>
  <si>
    <t xml:space="preserve">The R. R. Bean Company produces, packages, and distributes freeze-dried food for the camping and outdoor sportsman market. R. R. Bean is ready to introduce a new line of products based on a new drying technology that produces a higher quality, tastier food, so they want to discontinue their current line. The basic ingredients of the current line are dried fruit, dried meat and dried vegetables. There are two products in the current line: the "Weekender" and the "Expedition." In its close-out catalog, the selling prices of the two products are $3.80 and $7.00 per package, respectively. Handling and shipping costs are $1.50 per package for each package, which are provided at no charge. The "Weekender" package consists of 3 ounces of dried fruit, 7 ounces of dried meat, and 2 ounces of dried vegetables. The "Expedition" package has 5 ounces of dried fruit, 18 ounces of dried meat, and 5 ounces of dried vegetables. R. R. Bean would like to deplete its inventories of "old technology" fruit, meat, and vegetables before introducing the new line. The current inventories are 10,000 ounces, 25,000 ounces, and 12,000 ounces respectively of fruit, meat, and vegetables. The book values of these inventories are $2000, $2500, and $1800. Any leftover inventory will be given to the local animal shelter at no cost or benefit to R. R. </t>
  </si>
  <si>
    <t>Bean.  R. R. Bean is confident that it can sell all that it makes of the two products.  What combination of current products should they produce to sell?</t>
  </si>
  <si>
    <t xml:space="preserve">The city of Montreal maintains five snow-removal sites, where snow may be dumped after being collected from ploughed streets.  (Due to environmental constraints, dumping directly to the rivers is not an option.)  </t>
  </si>
  <si>
    <t>The annual capacities for the five sites (in 1000s of cubic meters) are as follows:</t>
  </si>
  <si>
    <t>SITE:</t>
  </si>
  <si>
    <t>E</t>
  </si>
  <si>
    <t>Montreal is divided into ten sectors for the purpose of snow removal.  The distances in Km (measured from the center of each sector) to the five dump sites are given in the following table:</t>
  </si>
  <si>
    <t>DISTANCES</t>
  </si>
  <si>
    <t>Zones</t>
  </si>
  <si>
    <t>Using historical snowfall data, the following amounts of snow (X1000 m3 can be anticipated for each sector:</t>
  </si>
  <si>
    <t>Zone</t>
  </si>
  <si>
    <t>Amount</t>
  </si>
  <si>
    <t xml:space="preserve">It costs $0.10 to transport one cubic meter of snow one Km.  </t>
  </si>
  <si>
    <t>If union restrictions require that the snow from each zone may only be dumped at one site, what is the least amount Montreal will have to spend on snow removal?  What is the decision?</t>
  </si>
  <si>
    <t>If the Union allows snow from the sectors to be spread across different dump sites, what is the savings to the City?</t>
  </si>
  <si>
    <t>Min requirement</t>
  </si>
  <si>
    <t>Actual composition</t>
  </si>
  <si>
    <t>Weekender</t>
  </si>
  <si>
    <t>Expedition</t>
  </si>
  <si>
    <t>Product</t>
  </si>
  <si>
    <t>SP/pkg</t>
  </si>
  <si>
    <t>H &amp; S cost/pkg</t>
  </si>
  <si>
    <t>Ingredient</t>
  </si>
  <si>
    <t>Dried Vegetables</t>
  </si>
  <si>
    <t>Total Inventory (in ounces)</t>
  </si>
  <si>
    <t>Weekender (in ounces)</t>
  </si>
  <si>
    <t>Expedition (in ounces)</t>
  </si>
  <si>
    <t>Book Value of Inventory($)</t>
  </si>
  <si>
    <t>Selling Price</t>
  </si>
  <si>
    <t>Handling &amp; Shipping Cost</t>
  </si>
  <si>
    <t>Cost of unused inventory</t>
  </si>
  <si>
    <t>Dried Fruit</t>
  </si>
  <si>
    <t>Dried Meat</t>
  </si>
  <si>
    <t>Used Inventory</t>
  </si>
  <si>
    <t>Total Inventory</t>
  </si>
  <si>
    <t>Book value/ounce</t>
  </si>
  <si>
    <t>Ingredients:</t>
  </si>
  <si>
    <t>Max</t>
  </si>
  <si>
    <t>Max Capacity</t>
  </si>
  <si>
    <t>ZONES</t>
  </si>
  <si>
    <t>SUM</t>
  </si>
  <si>
    <t>Savings:</t>
  </si>
  <si>
    <t>The savings to the city if snow from the sectors are allowed to be spread across different dump sites is $68,510.</t>
  </si>
  <si>
    <t>Min demand</t>
  </si>
  <si>
    <t>Total Payment</t>
  </si>
  <si>
    <t>Total Cost</t>
  </si>
  <si>
    <t>As we can see from our solution, there is an unused capacity of 5120 in the Detroit plant. We can distribute this to the distributors who have the lowest shipping cost, i.e., to Denver and St.Louis. We will first fulfill all of the demand for Denver first and then ship the remaining to St. Louis. 2520 security locks will be distributed to Denver and the remaining 2600 locks will be shipped to the St.Louis distributors.</t>
  </si>
  <si>
    <t>Increase in manufacturing costs</t>
  </si>
  <si>
    <t>Increase in shipping costs</t>
  </si>
  <si>
    <t>&lt;--Has unused capacity of:</t>
  </si>
  <si>
    <t>Yield</t>
  </si>
  <si>
    <t>This will increase our manufacturing cost by $199,680 and shipping cost by $7,050. New total cost will be $3,012,180.</t>
  </si>
  <si>
    <t>Used Capacity</t>
  </si>
  <si>
    <t>Payment</t>
  </si>
  <si>
    <t>OLV</t>
  </si>
  <si>
    <t>OHV</t>
  </si>
  <si>
    <t>Rent L</t>
  </si>
  <si>
    <t>Excess H</t>
  </si>
  <si>
    <t>Rent H</t>
  </si>
  <si>
    <t>Has Lockbox?</t>
  </si>
  <si>
    <t>Interest lost</t>
  </si>
  <si>
    <t>Operating costs</t>
  </si>
  <si>
    <t>Demand LV</t>
  </si>
  <si>
    <t>Demand HV</t>
  </si>
  <si>
    <t>Used OL</t>
  </si>
  <si>
    <t>Used OH</t>
  </si>
  <si>
    <t>RLV</t>
  </si>
  <si>
    <t>RHV</t>
  </si>
  <si>
    <t>Total L</t>
  </si>
  <si>
    <t>Total H</t>
  </si>
  <si>
    <t>Weekly Cost</t>
  </si>
  <si>
    <t>H for L (replace needed light with heavy)</t>
  </si>
  <si>
    <t>We recommend that this site own 5 Light vehicles and 4 Heavy vehicles. This will give us a weekly cost of $4674.</t>
  </si>
  <si>
    <t>$C$13</t>
  </si>
  <si>
    <t>$D$13</t>
  </si>
  <si>
    <t>$E$13</t>
  </si>
  <si>
    <t>$F$13</t>
  </si>
  <si>
    <t>$F$17</t>
  </si>
  <si>
    <t>We should manufacture 540 Standard golf bags and 252 Deluxe golf bags in order to maximize profit over the next three months. Our porfit will be $7668.</t>
  </si>
  <si>
    <t>15 yards of Standard grade and 15 yards of Professional grade material blends should go into each frame in order to minimize cost. This will give us a cost of $247.50.</t>
  </si>
  <si>
    <t>The yield estimates for Growth fund instrument can change from 0.15 to 10^30, income instrument can change from -10^30  to 0.12 and money market fund instrument can change from 0.02 to 0.2, holding all else constant in each case, before we have to change this allocation.</t>
  </si>
  <si>
    <t>We would invest $400,000 for Growth fund, $100,000 for Income fund and $500,000 for money market fund. This maximizes our yeild to $120,000.</t>
  </si>
  <si>
    <t>Our company should choose all project given, except for projects 1,2,9,10 and 11 in order to maximize profit with the given 2016-2020 budgets. This will give us a profit of $43,000.</t>
  </si>
  <si>
    <t>New Total Cost</t>
  </si>
  <si>
    <t>We manufacture 15,000 locks in Louisville, and we ship 600 locks to Dallas, and 14,400 to St.Louis.</t>
  </si>
  <si>
    <t>We manufacture 19,880 locks in Detroit, and we ship 8,600 locks to Dallas, 10,080 to Denver and 1200 to Baltimore.</t>
  </si>
  <si>
    <t>We manufacture 20,000 locks in Phoenix, and we ship 6,800 locks to  Tacoma, 11,600 San Diego and 1,600 to Dallas.</t>
  </si>
  <si>
    <t>We manufacture 18,000 locks in Macon, and we ship 12,000 of the locks to Tampa and 6,000 to Baltimore.</t>
  </si>
  <si>
    <t>Asnwer:</t>
  </si>
  <si>
    <t>MAX Profit</t>
  </si>
  <si>
    <t>&lt;--This is the objective function.</t>
  </si>
  <si>
    <t>Our business decision is to product 312 cases from Machine M-100 and 400 cases from Machine M-200 to maximize our profits. The profit with this combination will be $5446.80.</t>
  </si>
  <si>
    <t>We should buy 8 RoboI, 5 RoboII and 6 RoboIII to efficiently meet our production needs, and it would cost us $483,000.</t>
  </si>
  <si>
    <t>We will be processing 68 tons of rock in the Fine setting, 50 tons in the Medium setting and 120 tons in the Coarse setting. The total procuessing cost for the following week will be $1154.</t>
  </si>
  <si>
    <t>0 patients for Face Lift, 80 patients for Lipo and15 patients for Implants should be admitted each week. The profit will be $24,375.</t>
  </si>
  <si>
    <t>Max weekly capacity</t>
  </si>
  <si>
    <t>For this week, we will produce 2500 jars of Peanut butter and 5000 jars of Apple butter. This will give us a profit of $9,250.</t>
  </si>
  <si>
    <t>The composition for the bird food should be 6.67 tons of seed, 2.22 tons of stone and 11.11 tons of cereal. The composition for the dog food is 0 tons of meat, 10 tons of fishmeal and 10 tons of cereal. We should manufacture 20 tons of dog food and 20 tons of bird food and the resulting daily profit is $16,488.89.</t>
  </si>
  <si>
    <t>in %</t>
  </si>
  <si>
    <t>No</t>
  </si>
  <si>
    <t>The Central, Midwest, Northwest, Southeast and Southwest regions should be assigned to the Dallas lockbox location and the Mid-Atlantic and the Northeast region should be assigned to the New York lockbox location.</t>
  </si>
  <si>
    <t>MasterDebt should open lockbox locations in Dallas and New York to save the most money each year. This will lead to a total cost of $224,000.</t>
  </si>
  <si>
    <t>In Farm 1, we will plant 375 acres of Milo. In Farm 2, we will plant 50 acres of Milo and 425 acres of Cotton and in Farm 3, we will plant 150 acres of Milo.</t>
  </si>
  <si>
    <t>The resulting profit will this combination will be $320,000.</t>
  </si>
  <si>
    <t>They should produce 2895 Weekender and 263 Expedition product to maximize their profit. This will result in a profit of $8105.</t>
  </si>
  <si>
    <t>locks</t>
  </si>
  <si>
    <t>The least amount Montreal will have to spend on snow removal is $547,000.</t>
  </si>
  <si>
    <t>Snow from Zone 2 and 9 will be dumped in site A.</t>
  </si>
  <si>
    <t>Snow from Zone 1 will be dumped in site B.</t>
  </si>
  <si>
    <t>Snow from Zone 6, 7 and 10 will be dumped in site D.</t>
  </si>
  <si>
    <t>Snow from Zone 8 will be dumped in site E.</t>
  </si>
  <si>
    <t>Snow from Zone 3, 4 and 5 will be dumped in site C.</t>
  </si>
  <si>
    <t>Composition</t>
  </si>
  <si>
    <t xml:space="preserve">We will be obtaining 120 tons of rocks from the North Pit and none from South Pit, in order to minimize our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</si>
</sst>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s>
  <fonts count="14" x14ac:knownFonts="1">
    <font>
      <sz val="11"/>
      <color theme="1"/>
      <name val="Calibri"/>
      <family val="2"/>
      <scheme val="minor"/>
    </font>
    <font>
      <b/>
      <sz val="11"/>
      <color theme="1"/>
      <name val="Calibri"/>
      <family val="2"/>
      <scheme val="minor"/>
    </font>
    <font>
      <b/>
      <u/>
      <sz val="11"/>
      <color theme="1"/>
      <name val="Calibri"/>
      <family val="2"/>
      <scheme val="minor"/>
    </font>
    <font>
      <b/>
      <sz val="11"/>
      <color indexed="18"/>
      <name val="Calibri"/>
      <family val="2"/>
      <scheme val="minor"/>
    </font>
    <font>
      <sz val="11"/>
      <color rgb="FF000000"/>
      <name val="Calibri"/>
      <family val="2"/>
      <scheme val="minor"/>
    </font>
    <font>
      <i/>
      <u/>
      <sz val="11"/>
      <color theme="1"/>
      <name val="Calibri"/>
      <family val="2"/>
      <scheme val="minor"/>
    </font>
    <font>
      <u/>
      <sz val="11"/>
      <color theme="1"/>
      <name val="Calibri"/>
      <family val="2"/>
      <scheme val="minor"/>
    </font>
    <font>
      <sz val="11"/>
      <color theme="1"/>
      <name val="Calibri"/>
      <family val="2"/>
      <scheme val="minor"/>
    </font>
    <font>
      <sz val="12"/>
      <color theme="1"/>
      <name val="Times New Roman"/>
      <family val="1"/>
    </font>
    <font>
      <sz val="11"/>
      <color rgb="FF000000"/>
      <name val="Calibri"/>
      <family val="2"/>
    </font>
    <font>
      <i/>
      <sz val="12"/>
      <color theme="1"/>
      <name val="Times New Roman"/>
      <family val="1"/>
    </font>
    <font>
      <b/>
      <sz val="11"/>
      <color rgb="FF000000"/>
      <name val="Calibri"/>
      <family val="2"/>
    </font>
    <font>
      <sz val="11"/>
      <color theme="1"/>
      <name val="Times New Roman"/>
      <family val="1"/>
    </font>
    <font>
      <b/>
      <u/>
      <sz val="11"/>
      <color rgb="FF000000"/>
      <name val="Calibri"/>
      <family val="2"/>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155">
    <xf numFmtId="0" fontId="0" fillId="0" borderId="0" xfId="0"/>
    <xf numFmtId="0" fontId="0" fillId="0" borderId="1" xfId="0" applyBorder="1"/>
    <xf numFmtId="0" fontId="0" fillId="2" borderId="0" xfId="0" applyFill="1"/>
    <xf numFmtId="0" fontId="1" fillId="3" borderId="1" xfId="0" applyFont="1" applyFill="1" applyBorder="1"/>
    <xf numFmtId="0" fontId="2" fillId="0" borderId="0" xfId="0" applyFont="1"/>
    <xf numFmtId="0" fontId="1" fillId="4" borderId="0" xfId="0" applyFont="1" applyFill="1"/>
    <xf numFmtId="0" fontId="0" fillId="4" borderId="0" xfId="0" applyFill="1"/>
    <xf numFmtId="0" fontId="3" fillId="4" borderId="2" xfId="0" applyFont="1" applyFill="1" applyBorder="1" applyAlignment="1">
      <alignment horizontal="center"/>
    </xf>
    <xf numFmtId="0" fontId="3" fillId="4" borderId="3" xfId="0" applyFont="1" applyFill="1" applyBorder="1" applyAlignment="1">
      <alignment horizontal="center"/>
    </xf>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4" fillId="0" borderId="1"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center" vertical="center"/>
    </xf>
    <xf numFmtId="0" fontId="0" fillId="0" borderId="0" xfId="0" applyAlignment="1">
      <alignment vertical="center"/>
    </xf>
    <xf numFmtId="0" fontId="0" fillId="3" borderId="1" xfId="0" applyFill="1" applyBorder="1"/>
    <xf numFmtId="0" fontId="6" fillId="0" borderId="0" xfId="0" applyFont="1"/>
    <xf numFmtId="0" fontId="0" fillId="0" borderId="0" xfId="0" quotePrefix="1"/>
    <xf numFmtId="0" fontId="0" fillId="5" borderId="0" xfId="0" applyFill="1"/>
    <xf numFmtId="0" fontId="1" fillId="0" borderId="0" xfId="0" applyFont="1"/>
    <xf numFmtId="43" fontId="0" fillId="0" borderId="0" xfId="0" applyNumberFormat="1"/>
    <xf numFmtId="43" fontId="0" fillId="3" borderId="0" xfId="1" applyFont="1" applyFill="1" applyBorder="1"/>
    <xf numFmtId="0" fontId="0" fillId="0" borderId="0" xfId="0" applyAlignment="1">
      <alignment wrapText="1"/>
    </xf>
    <xf numFmtId="0" fontId="0" fillId="4" borderId="11" xfId="0" applyFill="1" applyBorder="1"/>
    <xf numFmtId="0" fontId="0" fillId="4" borderId="12" xfId="0" applyFill="1" applyBorder="1"/>
    <xf numFmtId="0" fontId="0" fillId="4" borderId="13" xfId="0" applyFill="1" applyBorder="1"/>
    <xf numFmtId="0" fontId="0" fillId="0" borderId="0" xfId="0" applyAlignment="1">
      <alignment horizontal="left" wrapText="1"/>
    </xf>
    <xf numFmtId="44" fontId="0" fillId="0" borderId="0" xfId="2" applyFont="1"/>
    <xf numFmtId="44" fontId="0" fillId="2" borderId="1" xfId="2" applyFont="1"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4"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9" fontId="0" fillId="0" borderId="1" xfId="0" applyNumberFormat="1" applyBorder="1"/>
    <xf numFmtId="0" fontId="0" fillId="6" borderId="1" xfId="0" applyFill="1" applyBorder="1"/>
    <xf numFmtId="0" fontId="0" fillId="3" borderId="18" xfId="0" applyFill="1" applyBorder="1"/>
    <xf numFmtId="0" fontId="0" fillId="3" borderId="15" xfId="0" applyFill="1" applyBorder="1"/>
    <xf numFmtId="0" fontId="0" fillId="3" borderId="11" xfId="0" applyFill="1" applyBorder="1"/>
    <xf numFmtId="6" fontId="0" fillId="0" borderId="1" xfId="0" applyNumberFormat="1" applyBorder="1"/>
    <xf numFmtId="0" fontId="0" fillId="0" borderId="0" xfId="0" applyAlignment="1">
      <alignment vertical="top" wrapText="1"/>
    </xf>
    <xf numFmtId="0" fontId="0" fillId="7" borderId="0" xfId="0" applyFill="1"/>
    <xf numFmtId="0" fontId="0" fillId="8" borderId="0" xfId="0" applyFill="1"/>
    <xf numFmtId="44" fontId="0" fillId="2" borderId="0" xfId="2" applyFont="1" applyFill="1"/>
    <xf numFmtId="0" fontId="8" fillId="0" borderId="0" xfId="0" applyFont="1" applyAlignment="1">
      <alignment vertical="center"/>
    </xf>
    <xf numFmtId="0" fontId="10"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horizontal="right" vertical="center"/>
    </xf>
    <xf numFmtId="0" fontId="9" fillId="0" borderId="1" xfId="0" applyFont="1" applyBorder="1" applyAlignment="1">
      <alignment horizontal="center" vertical="center"/>
    </xf>
    <xf numFmtId="0" fontId="0" fillId="9" borderId="1" xfId="0" applyFill="1" applyBorder="1"/>
    <xf numFmtId="0" fontId="0" fillId="5" borderId="1" xfId="0" applyFill="1" applyBorder="1"/>
    <xf numFmtId="0" fontId="0" fillId="0" borderId="33" xfId="0" applyBorder="1"/>
    <xf numFmtId="44" fontId="0" fillId="0" borderId="0" xfId="2" applyFont="1" applyFill="1"/>
    <xf numFmtId="0" fontId="0" fillId="0" borderId="1" xfId="0" applyBorder="1" applyAlignment="1">
      <alignment wrapText="1"/>
    </xf>
    <xf numFmtId="0" fontId="0" fillId="0" borderId="31" xfId="0" applyBorder="1"/>
    <xf numFmtId="0" fontId="0" fillId="0" borderId="10" xfId="0" applyBorder="1"/>
    <xf numFmtId="0" fontId="1" fillId="0" borderId="1" xfId="0" applyFont="1" applyBorder="1"/>
    <xf numFmtId="0" fontId="9" fillId="3" borderId="1" xfId="0" applyFont="1" applyFill="1" applyBorder="1" applyAlignment="1">
      <alignment horizontal="center" vertical="center"/>
    </xf>
    <xf numFmtId="0" fontId="9" fillId="0" borderId="15" xfId="0" applyFont="1" applyBorder="1" applyAlignment="1">
      <alignment horizontal="center" vertical="center"/>
    </xf>
    <xf numFmtId="0" fontId="9" fillId="3" borderId="15" xfId="0" applyFont="1" applyFill="1" applyBorder="1" applyAlignment="1">
      <alignment horizontal="center" vertical="center"/>
    </xf>
    <xf numFmtId="0" fontId="9" fillId="0" borderId="16" xfId="0" applyFont="1" applyBorder="1" applyAlignment="1">
      <alignment horizontal="center" vertical="center"/>
    </xf>
    <xf numFmtId="0" fontId="9" fillId="3" borderId="18" xfId="0" applyFont="1" applyFill="1" applyBorder="1" applyAlignment="1">
      <alignment horizontal="center" vertical="center"/>
    </xf>
    <xf numFmtId="0" fontId="9" fillId="0" borderId="18" xfId="0" applyFont="1" applyBorder="1" applyAlignment="1">
      <alignment horizontal="center" vertical="center"/>
    </xf>
    <xf numFmtId="0" fontId="9" fillId="0" borderId="32" xfId="0" applyFont="1" applyBorder="1" applyAlignment="1">
      <alignment horizontal="center" vertical="center"/>
    </xf>
    <xf numFmtId="0" fontId="0" fillId="0" borderId="32" xfId="0" applyBorder="1"/>
    <xf numFmtId="0" fontId="9" fillId="0" borderId="34" xfId="0" applyFont="1" applyBorder="1" applyAlignment="1">
      <alignment horizontal="center" vertical="center"/>
    </xf>
    <xf numFmtId="0" fontId="9" fillId="0" borderId="35" xfId="0" applyFont="1" applyBorder="1" applyAlignment="1">
      <alignment horizontal="center" vertical="center"/>
    </xf>
    <xf numFmtId="44" fontId="1" fillId="10" borderId="1" xfId="0" applyNumberFormat="1" applyFont="1" applyFill="1" applyBorder="1"/>
    <xf numFmtId="0" fontId="9" fillId="5" borderId="1"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11" xfId="0" applyFont="1" applyFill="1" applyBorder="1" applyAlignment="1">
      <alignment horizontal="center" vertical="center"/>
    </xf>
    <xf numFmtId="0" fontId="9" fillId="0" borderId="18" xfId="0" applyFont="1" applyBorder="1" applyAlignment="1">
      <alignment vertical="center"/>
    </xf>
    <xf numFmtId="0" fontId="9" fillId="0" borderId="19" xfId="0" applyFont="1" applyBorder="1" applyAlignment="1">
      <alignment vertical="center"/>
    </xf>
    <xf numFmtId="0" fontId="11" fillId="0" borderId="19" xfId="0" applyFont="1" applyBorder="1" applyAlignment="1">
      <alignment vertical="center"/>
    </xf>
    <xf numFmtId="0" fontId="9" fillId="0" borderId="0" xfId="0" applyFont="1" applyAlignment="1">
      <alignment vertical="center"/>
    </xf>
    <xf numFmtId="164" fontId="0" fillId="0" borderId="0" xfId="2" applyNumberFormat="1" applyFont="1"/>
    <xf numFmtId="164" fontId="0" fillId="0" borderId="16" xfId="2" applyNumberFormat="1" applyFont="1" applyBorder="1"/>
    <xf numFmtId="164" fontId="0" fillId="0" borderId="31" xfId="2" applyNumberFormat="1" applyFont="1" applyBorder="1"/>
    <xf numFmtId="44" fontId="1" fillId="3" borderId="1" xfId="2" applyFont="1" applyFill="1" applyBorder="1"/>
    <xf numFmtId="44" fontId="0" fillId="0" borderId="0" xfId="0" applyNumberFormat="1"/>
    <xf numFmtId="44" fontId="1" fillId="2" borderId="1" xfId="2" applyFont="1" applyFill="1" applyBorder="1"/>
    <xf numFmtId="0" fontId="1" fillId="5" borderId="1" xfId="0" applyFont="1" applyFill="1" applyBorder="1"/>
    <xf numFmtId="0" fontId="1" fillId="5" borderId="15" xfId="0" applyFont="1" applyFill="1" applyBorder="1"/>
    <xf numFmtId="44" fontId="1" fillId="2" borderId="0" xfId="2" applyFont="1" applyFill="1"/>
    <xf numFmtId="0" fontId="0" fillId="0" borderId="37" xfId="0" applyBorder="1"/>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horizontal="center" vertical="center"/>
    </xf>
    <xf numFmtId="0" fontId="9" fillId="0" borderId="31" xfId="0" applyFont="1" applyBorder="1" applyAlignment="1">
      <alignment horizontal="center" vertical="center"/>
    </xf>
    <xf numFmtId="0" fontId="9" fillId="0" borderId="11" xfId="0" applyFont="1" applyBorder="1" applyAlignment="1">
      <alignment horizontal="center" vertical="center"/>
    </xf>
    <xf numFmtId="0" fontId="0" fillId="0" borderId="38" xfId="0" applyBorder="1"/>
    <xf numFmtId="0" fontId="9" fillId="0" borderId="32" xfId="0" applyFont="1" applyBorder="1" applyAlignment="1">
      <alignment vertical="center"/>
    </xf>
    <xf numFmtId="44" fontId="1" fillId="2" borderId="36" xfId="2" applyFont="1" applyFill="1" applyBorder="1"/>
    <xf numFmtId="0" fontId="0" fillId="0" borderId="34" xfId="0" applyBorder="1"/>
    <xf numFmtId="0" fontId="0" fillId="0" borderId="39" xfId="0" applyBorder="1"/>
    <xf numFmtId="0" fontId="0" fillId="0" borderId="36" xfId="0" applyBorder="1"/>
    <xf numFmtId="0" fontId="0" fillId="0" borderId="18" xfId="0" quotePrefix="1" applyBorder="1"/>
    <xf numFmtId="0" fontId="0" fillId="0" borderId="34" xfId="0" quotePrefix="1" applyBorder="1"/>
    <xf numFmtId="0" fontId="0" fillId="0" borderId="39" xfId="0" quotePrefix="1" applyBorder="1"/>
    <xf numFmtId="0" fontId="0" fillId="0" borderId="36" xfId="0" quotePrefix="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7" xfId="0" applyBorder="1"/>
    <xf numFmtId="44" fontId="1" fillId="0" borderId="1" xfId="0" applyNumberFormat="1" applyFont="1" applyBorder="1"/>
    <xf numFmtId="0" fontId="9" fillId="3" borderId="11" xfId="0" applyFont="1" applyFill="1" applyBorder="1" applyAlignment="1">
      <alignment horizontal="center" vertical="center"/>
    </xf>
    <xf numFmtId="44" fontId="0" fillId="0" borderId="1" xfId="2" applyFont="1" applyFill="1" applyBorder="1"/>
    <xf numFmtId="44" fontId="1" fillId="2" borderId="1" xfId="0" applyNumberFormat="1" applyFont="1" applyFill="1" applyBorder="1"/>
    <xf numFmtId="44" fontId="1" fillId="0" borderId="0" xfId="2" applyFont="1" applyFill="1"/>
    <xf numFmtId="10" fontId="1" fillId="0" borderId="0" xfId="3" applyNumberFormat="1" applyFont="1"/>
    <xf numFmtId="165" fontId="1" fillId="0" borderId="0" xfId="3" applyNumberFormat="1" applyFont="1"/>
    <xf numFmtId="0" fontId="0" fillId="5" borderId="16" xfId="0" applyFill="1" applyBorder="1"/>
    <xf numFmtId="0" fontId="0" fillId="5" borderId="14" xfId="0" applyFill="1" applyBorder="1"/>
    <xf numFmtId="0" fontId="1" fillId="0" borderId="15" xfId="0" applyFont="1" applyBorder="1" applyAlignment="1">
      <alignment vertical="center"/>
    </xf>
    <xf numFmtId="0" fontId="1" fillId="0" borderId="30"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0" borderId="18" xfId="0" applyBorder="1" applyAlignment="1">
      <alignment vertical="center"/>
    </xf>
    <xf numFmtId="0" fontId="1" fillId="0" borderId="19" xfId="0" applyFont="1" applyBorder="1" applyAlignment="1">
      <alignment vertical="center"/>
    </xf>
    <xf numFmtId="0" fontId="1" fillId="0" borderId="32" xfId="0" applyFont="1" applyBorder="1" applyAlignment="1">
      <alignment vertical="center"/>
    </xf>
    <xf numFmtId="0" fontId="0" fillId="0" borderId="32" xfId="0" applyBorder="1" applyAlignment="1">
      <alignment vertical="center"/>
    </xf>
    <xf numFmtId="0" fontId="12" fillId="0" borderId="1" xfId="0" applyFont="1" applyBorder="1" applyAlignment="1">
      <alignment vertical="center"/>
    </xf>
    <xf numFmtId="0" fontId="12" fillId="0" borderId="32" xfId="0" applyFont="1" applyBorder="1" applyAlignment="1">
      <alignment vertical="center"/>
    </xf>
    <xf numFmtId="0" fontId="13" fillId="0" borderId="0" xfId="0" applyFont="1" applyAlignment="1">
      <alignment horizontal="center" vertical="center"/>
    </xf>
    <xf numFmtId="0" fontId="1" fillId="0" borderId="0" xfId="0" quotePrefix="1" applyFont="1"/>
    <xf numFmtId="44" fontId="1" fillId="2" borderId="15" xfId="2" applyFont="1" applyFill="1" applyBorder="1"/>
    <xf numFmtId="0" fontId="0" fillId="5" borderId="0" xfId="0" applyFill="1" applyAlignment="1">
      <alignment horizontal="left" vertical="top" wrapText="1"/>
    </xf>
    <xf numFmtId="0" fontId="0" fillId="5" borderId="0" xfId="0" applyFill="1" applyAlignment="1">
      <alignment horizontal="left" wrapText="1"/>
    </xf>
    <xf numFmtId="0" fontId="0" fillId="0" borderId="0" xfId="0" applyAlignment="1">
      <alignment horizontal="center" wrapText="1"/>
    </xf>
    <xf numFmtId="0" fontId="0" fillId="0" borderId="0" xfId="0" applyAlignment="1">
      <alignment horizontal="left" vertical="top" wrapText="1"/>
    </xf>
    <xf numFmtId="0" fontId="1" fillId="6" borderId="0" xfId="0" applyFont="1" applyFill="1" applyAlignment="1">
      <alignment horizontal="center"/>
    </xf>
    <xf numFmtId="0" fontId="1" fillId="9" borderId="0" xfId="0" applyFont="1" applyFill="1" applyAlignment="1">
      <alignment horizontal="center"/>
    </xf>
    <xf numFmtId="0" fontId="9" fillId="0" borderId="0" xfId="0" applyFont="1" applyAlignment="1">
      <alignment vertical="center"/>
    </xf>
    <xf numFmtId="0" fontId="1" fillId="0" borderId="1"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E2C6B4"/>
      <color rgb="FFD6AE96"/>
      <color rgb="FFBF978B"/>
      <color rgb="FFCE9E80"/>
      <color rgb="FFC48964"/>
      <color rgb="FFB7897B"/>
      <color rgb="FFB180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F68B2-1687-4E22-9F00-0BB0129B5AC9}">
  <sheetPr>
    <tabColor theme="8" tint="0.59999389629810485"/>
  </sheetPr>
  <dimension ref="A1:O67"/>
  <sheetViews>
    <sheetView topLeftCell="A21" workbookViewId="0">
      <selection activeCell="N16" sqref="N16"/>
    </sheetView>
  </sheetViews>
  <sheetFormatPr defaultRowHeight="14.4" x14ac:dyDescent="0.3"/>
  <cols>
    <col min="3" max="3" width="17.33203125" customWidth="1"/>
    <col min="4" max="4" width="17.44140625" customWidth="1"/>
    <col min="5" max="5" width="16" customWidth="1"/>
    <col min="6" max="6" width="13.44140625" customWidth="1"/>
    <col min="7" max="7" width="10.21875" customWidth="1"/>
    <col min="8" max="8" width="10.88671875" customWidth="1"/>
    <col min="9" max="9" width="10.5546875" customWidth="1"/>
    <col min="10" max="10" width="10.109375" customWidth="1"/>
    <col min="12" max="12" width="17.109375" customWidth="1"/>
    <col min="13" max="13" width="12.6640625" customWidth="1"/>
    <col min="15" max="15" width="13.6640625" bestFit="1" customWidth="1"/>
  </cols>
  <sheetData>
    <row r="1" spans="1:8" x14ac:dyDescent="0.3">
      <c r="A1" t="s">
        <v>147</v>
      </c>
    </row>
    <row r="2" spans="1:8" x14ac:dyDescent="0.3">
      <c r="A2" t="s">
        <v>148</v>
      </c>
    </row>
    <row r="4" spans="1:8" x14ac:dyDescent="0.3">
      <c r="A4" t="s">
        <v>127</v>
      </c>
      <c r="C4" t="s">
        <v>128</v>
      </c>
    </row>
    <row r="5" spans="1:8" x14ac:dyDescent="0.3">
      <c r="A5" s="1" t="s">
        <v>129</v>
      </c>
      <c r="B5" s="1" t="s">
        <v>130</v>
      </c>
      <c r="C5" s="1" t="s">
        <v>131</v>
      </c>
      <c r="D5" s="1" t="s">
        <v>132</v>
      </c>
      <c r="E5" s="1" t="s">
        <v>133</v>
      </c>
      <c r="F5" s="1" t="s">
        <v>134</v>
      </c>
      <c r="G5" s="1" t="s">
        <v>135</v>
      </c>
      <c r="H5" s="1" t="s">
        <v>136</v>
      </c>
    </row>
    <row r="6" spans="1:8" x14ac:dyDescent="0.3">
      <c r="A6" s="1" t="s">
        <v>137</v>
      </c>
      <c r="B6" s="1">
        <v>2.5</v>
      </c>
      <c r="C6" s="1">
        <v>2.75</v>
      </c>
      <c r="D6" s="1">
        <v>1.75</v>
      </c>
      <c r="E6" s="1">
        <v>2</v>
      </c>
      <c r="F6" s="1">
        <v>2.1</v>
      </c>
      <c r="G6" s="1">
        <v>1.8</v>
      </c>
      <c r="H6" s="1">
        <v>1.65</v>
      </c>
    </row>
    <row r="7" spans="1:8" x14ac:dyDescent="0.3">
      <c r="A7" s="1" t="s">
        <v>138</v>
      </c>
      <c r="B7" s="1">
        <v>1.85</v>
      </c>
      <c r="C7" s="1">
        <v>1.9</v>
      </c>
      <c r="D7" s="1">
        <v>1.5</v>
      </c>
      <c r="E7" s="1">
        <v>1.6</v>
      </c>
      <c r="F7" s="1">
        <v>1</v>
      </c>
      <c r="G7" s="1">
        <v>1.9</v>
      </c>
      <c r="H7" s="1">
        <v>1.85</v>
      </c>
    </row>
    <row r="8" spans="1:8" x14ac:dyDescent="0.3">
      <c r="A8" s="1" t="s">
        <v>139</v>
      </c>
      <c r="B8" s="1">
        <v>2.2999999999999998</v>
      </c>
      <c r="C8" s="1">
        <v>2.25</v>
      </c>
      <c r="D8" s="1">
        <v>1.85</v>
      </c>
      <c r="E8" s="1">
        <v>1.25</v>
      </c>
      <c r="F8" s="1">
        <v>1.5</v>
      </c>
      <c r="G8" s="1">
        <v>2.25</v>
      </c>
      <c r="H8" s="1">
        <v>2</v>
      </c>
    </row>
    <row r="9" spans="1:8" x14ac:dyDescent="0.3">
      <c r="A9" s="1" t="s">
        <v>140</v>
      </c>
      <c r="B9" s="1">
        <v>1.9</v>
      </c>
      <c r="C9" s="1">
        <v>0.9</v>
      </c>
      <c r="D9" s="1">
        <v>1.6</v>
      </c>
      <c r="E9" s="1">
        <v>1.75</v>
      </c>
      <c r="F9" s="1">
        <v>2</v>
      </c>
      <c r="G9" s="1">
        <v>2.5</v>
      </c>
      <c r="H9" s="1">
        <v>2.65</v>
      </c>
    </row>
    <row r="11" spans="1:8" x14ac:dyDescent="0.3">
      <c r="A11" t="s">
        <v>141</v>
      </c>
    </row>
    <row r="13" spans="1:8" x14ac:dyDescent="0.3">
      <c r="A13" s="1" t="s">
        <v>129</v>
      </c>
      <c r="B13" s="1" t="s">
        <v>130</v>
      </c>
      <c r="C13" s="1" t="s">
        <v>131</v>
      </c>
      <c r="D13" s="1" t="s">
        <v>132</v>
      </c>
      <c r="E13" s="1" t="s">
        <v>133</v>
      </c>
      <c r="F13" s="1" t="s">
        <v>134</v>
      </c>
      <c r="G13" s="1" t="s">
        <v>135</v>
      </c>
      <c r="H13" s="1" t="s">
        <v>136</v>
      </c>
    </row>
    <row r="14" spans="1:8" x14ac:dyDescent="0.3">
      <c r="A14" s="1" t="s">
        <v>142</v>
      </c>
      <c r="B14" s="1">
        <v>8500</v>
      </c>
      <c r="C14" s="1">
        <v>14500</v>
      </c>
      <c r="D14" s="1">
        <v>13500</v>
      </c>
      <c r="E14" s="1">
        <v>12600</v>
      </c>
      <c r="F14" s="1">
        <v>18000</v>
      </c>
      <c r="G14" s="1">
        <v>15000</v>
      </c>
      <c r="H14" s="1">
        <v>9000</v>
      </c>
    </row>
    <row r="16" spans="1:8" x14ac:dyDescent="0.3">
      <c r="A16" t="s">
        <v>143</v>
      </c>
    </row>
    <row r="18" spans="1:9" x14ac:dyDescent="0.3">
      <c r="A18" s="1" t="s">
        <v>129</v>
      </c>
      <c r="B18" s="1" t="s">
        <v>144</v>
      </c>
      <c r="C18" s="1" t="s">
        <v>145</v>
      </c>
    </row>
    <row r="19" spans="1:9" x14ac:dyDescent="0.3">
      <c r="A19" s="1" t="s">
        <v>137</v>
      </c>
      <c r="B19" s="1">
        <v>18000</v>
      </c>
      <c r="C19" s="1">
        <v>35.5</v>
      </c>
    </row>
    <row r="20" spans="1:9" x14ac:dyDescent="0.3">
      <c r="A20" s="1" t="s">
        <v>138</v>
      </c>
      <c r="B20" s="1">
        <v>15000</v>
      </c>
      <c r="C20" s="1">
        <v>37.5</v>
      </c>
    </row>
    <row r="21" spans="1:9" x14ac:dyDescent="0.3">
      <c r="A21" s="1" t="s">
        <v>139</v>
      </c>
      <c r="B21" s="1">
        <v>25000</v>
      </c>
      <c r="C21" s="1">
        <v>39</v>
      </c>
    </row>
    <row r="22" spans="1:9" x14ac:dyDescent="0.3">
      <c r="A22" s="1" t="s">
        <v>140</v>
      </c>
      <c r="B22" s="1">
        <v>20000</v>
      </c>
      <c r="C22" s="1">
        <v>36.25</v>
      </c>
    </row>
    <row r="24" spans="1:9" x14ac:dyDescent="0.3">
      <c r="A24" t="s">
        <v>149</v>
      </c>
    </row>
    <row r="25" spans="1:9" x14ac:dyDescent="0.3">
      <c r="A25" s="2" t="s">
        <v>112</v>
      </c>
      <c r="B25" t="s">
        <v>150</v>
      </c>
    </row>
    <row r="27" spans="1:9" x14ac:dyDescent="0.3">
      <c r="A27" s="4" t="s">
        <v>3</v>
      </c>
      <c r="B27" s="23" t="s">
        <v>414</v>
      </c>
      <c r="C27" s="23"/>
      <c r="D27" s="23"/>
      <c r="E27" s="23"/>
      <c r="F27" s="23"/>
      <c r="G27" s="23"/>
      <c r="H27" s="23"/>
      <c r="I27" s="23"/>
    </row>
    <row r="28" spans="1:9" x14ac:dyDescent="0.3">
      <c r="A28" s="4"/>
      <c r="B28" s="23" t="s">
        <v>411</v>
      </c>
      <c r="C28" s="23"/>
      <c r="D28" s="23"/>
      <c r="E28" s="23"/>
      <c r="F28" s="23"/>
      <c r="G28" s="23"/>
      <c r="H28" s="23"/>
      <c r="I28" s="23"/>
    </row>
    <row r="29" spans="1:9" x14ac:dyDescent="0.3">
      <c r="A29" s="4"/>
      <c r="B29" s="23" t="s">
        <v>412</v>
      </c>
      <c r="C29" s="23"/>
      <c r="D29" s="23"/>
      <c r="E29" s="23"/>
      <c r="F29" s="23"/>
      <c r="G29" s="23"/>
      <c r="H29" s="23"/>
      <c r="I29" s="23"/>
    </row>
    <row r="30" spans="1:9" x14ac:dyDescent="0.3">
      <c r="B30" s="23" t="s">
        <v>413</v>
      </c>
      <c r="C30" s="23"/>
      <c r="D30" s="23"/>
      <c r="E30" s="23"/>
      <c r="F30" s="23"/>
      <c r="G30" s="23"/>
      <c r="H30" s="23"/>
      <c r="I30" s="23"/>
    </row>
    <row r="32" spans="1:9" ht="15" thickBot="1" x14ac:dyDescent="0.35"/>
    <row r="33" spans="1:13" x14ac:dyDescent="0.3">
      <c r="B33" t="s">
        <v>4</v>
      </c>
      <c r="C33" s="1" t="s">
        <v>129</v>
      </c>
      <c r="D33" s="1" t="s">
        <v>130</v>
      </c>
      <c r="E33" s="1" t="s">
        <v>131</v>
      </c>
      <c r="F33" s="1" t="s">
        <v>132</v>
      </c>
      <c r="G33" s="1" t="s">
        <v>133</v>
      </c>
      <c r="H33" s="1" t="s">
        <v>134</v>
      </c>
      <c r="I33" s="1" t="s">
        <v>135</v>
      </c>
      <c r="J33" s="37" t="s">
        <v>136</v>
      </c>
      <c r="K33" s="38" t="s">
        <v>212</v>
      </c>
    </row>
    <row r="34" spans="1:13" x14ac:dyDescent="0.3">
      <c r="B34" t="s">
        <v>208</v>
      </c>
      <c r="C34" s="1" t="s">
        <v>137</v>
      </c>
      <c r="D34" s="20">
        <v>0</v>
      </c>
      <c r="E34" s="20">
        <v>0</v>
      </c>
      <c r="F34" s="20">
        <v>0</v>
      </c>
      <c r="G34" s="20">
        <v>0</v>
      </c>
      <c r="H34" s="20">
        <v>0</v>
      </c>
      <c r="I34" s="20">
        <v>12000</v>
      </c>
      <c r="J34" s="52">
        <v>6000</v>
      </c>
      <c r="K34" s="39">
        <f>SUM(D34:J34)</f>
        <v>18000</v>
      </c>
    </row>
    <row r="35" spans="1:13" x14ac:dyDescent="0.3">
      <c r="C35" s="1" t="s">
        <v>138</v>
      </c>
      <c r="D35" s="20">
        <v>0</v>
      </c>
      <c r="E35" s="20">
        <v>0</v>
      </c>
      <c r="F35" s="20">
        <v>600</v>
      </c>
      <c r="G35" s="20">
        <v>0</v>
      </c>
      <c r="H35" s="20">
        <v>14400</v>
      </c>
      <c r="I35" s="20">
        <v>0</v>
      </c>
      <c r="J35" s="52">
        <v>0</v>
      </c>
      <c r="K35" s="39">
        <f t="shared" ref="K35:K37" si="0">SUM(D35:J35)</f>
        <v>15000</v>
      </c>
    </row>
    <row r="36" spans="1:13" x14ac:dyDescent="0.3">
      <c r="C36" s="1" t="s">
        <v>139</v>
      </c>
      <c r="D36" s="20">
        <v>0</v>
      </c>
      <c r="E36" s="20">
        <v>0</v>
      </c>
      <c r="F36" s="20">
        <v>8600</v>
      </c>
      <c r="G36" s="20">
        <v>10080</v>
      </c>
      <c r="H36" s="20">
        <v>0</v>
      </c>
      <c r="I36" s="20">
        <v>0</v>
      </c>
      <c r="J36" s="52">
        <v>1200</v>
      </c>
      <c r="K36" s="39">
        <f t="shared" si="0"/>
        <v>19880</v>
      </c>
    </row>
    <row r="37" spans="1:13" ht="15" thickBot="1" x14ac:dyDescent="0.35">
      <c r="C37" s="34" t="s">
        <v>140</v>
      </c>
      <c r="D37" s="53">
        <v>6800</v>
      </c>
      <c r="E37" s="53">
        <v>11600</v>
      </c>
      <c r="F37" s="53">
        <v>1600</v>
      </c>
      <c r="G37" s="53">
        <v>0</v>
      </c>
      <c r="H37" s="53">
        <v>0</v>
      </c>
      <c r="I37" s="53">
        <v>0</v>
      </c>
      <c r="J37" s="54">
        <v>0</v>
      </c>
      <c r="K37" s="40">
        <f t="shared" si="0"/>
        <v>20000</v>
      </c>
    </row>
    <row r="38" spans="1:13" ht="15" thickBot="1" x14ac:dyDescent="0.35">
      <c r="C38" s="35" t="s">
        <v>212</v>
      </c>
      <c r="D38" s="36">
        <f>SUM(D34:D37)</f>
        <v>6800</v>
      </c>
      <c r="E38" s="36">
        <f t="shared" ref="E38:J38" si="1">SUM(E34:E37)</f>
        <v>11600</v>
      </c>
      <c r="F38" s="36">
        <f t="shared" si="1"/>
        <v>10800</v>
      </c>
      <c r="G38" s="36">
        <f t="shared" si="1"/>
        <v>10080</v>
      </c>
      <c r="H38" s="36">
        <f t="shared" si="1"/>
        <v>14400</v>
      </c>
      <c r="I38" s="36">
        <f t="shared" si="1"/>
        <v>12000</v>
      </c>
      <c r="J38" s="36">
        <f t="shared" si="1"/>
        <v>7200</v>
      </c>
      <c r="K38" s="41">
        <f>SUM(K34:K37)</f>
        <v>72880</v>
      </c>
    </row>
    <row r="40" spans="1:13" ht="15" thickBot="1" x14ac:dyDescent="0.35">
      <c r="A40" t="s">
        <v>2</v>
      </c>
      <c r="B40" t="s">
        <v>209</v>
      </c>
      <c r="C40" s="24" t="s">
        <v>16</v>
      </c>
      <c r="D40" s="144">
        <f>SUM(L42:L45,M42:M45)</f>
        <v>2805450</v>
      </c>
    </row>
    <row r="41" spans="1:13" x14ac:dyDescent="0.3">
      <c r="C41" s="42" t="s">
        <v>129</v>
      </c>
      <c r="D41" s="43" t="s">
        <v>130</v>
      </c>
      <c r="E41" s="43" t="s">
        <v>131</v>
      </c>
      <c r="F41" s="43" t="s">
        <v>132</v>
      </c>
      <c r="G41" s="43" t="s">
        <v>133</v>
      </c>
      <c r="H41" s="43" t="s">
        <v>134</v>
      </c>
      <c r="I41" s="43" t="s">
        <v>135</v>
      </c>
      <c r="J41" s="44" t="s">
        <v>136</v>
      </c>
      <c r="K41" s="42" t="s">
        <v>145</v>
      </c>
      <c r="L41" s="43" t="s">
        <v>211</v>
      </c>
      <c r="M41" s="44" t="s">
        <v>210</v>
      </c>
    </row>
    <row r="42" spans="1:13" x14ac:dyDescent="0.3">
      <c r="C42" s="45" t="s">
        <v>137</v>
      </c>
      <c r="D42" s="1">
        <v>2.5</v>
      </c>
      <c r="E42" s="1">
        <v>2.75</v>
      </c>
      <c r="F42" s="1">
        <v>1.75</v>
      </c>
      <c r="G42" s="1">
        <v>2</v>
      </c>
      <c r="H42" s="1">
        <v>2.1</v>
      </c>
      <c r="I42" s="1">
        <v>1.8</v>
      </c>
      <c r="J42" s="46">
        <v>1.65</v>
      </c>
      <c r="K42" s="45">
        <v>35.5</v>
      </c>
      <c r="L42" s="1">
        <f>K42*K34</f>
        <v>639000</v>
      </c>
      <c r="M42" s="46">
        <f>SUMPRODUCT(D34:J34,D42:J42)</f>
        <v>31500</v>
      </c>
    </row>
    <row r="43" spans="1:13" x14ac:dyDescent="0.3">
      <c r="C43" s="45" t="s">
        <v>138</v>
      </c>
      <c r="D43" s="1">
        <v>1.85</v>
      </c>
      <c r="E43" s="1">
        <v>1.9</v>
      </c>
      <c r="F43" s="1">
        <v>1.5</v>
      </c>
      <c r="G43" s="1">
        <v>1.6</v>
      </c>
      <c r="H43" s="1">
        <v>1</v>
      </c>
      <c r="I43" s="1">
        <v>1.9</v>
      </c>
      <c r="J43" s="46">
        <v>1.85</v>
      </c>
      <c r="K43" s="45">
        <v>37.5</v>
      </c>
      <c r="L43" s="1">
        <f>K43*K35</f>
        <v>562500</v>
      </c>
      <c r="M43" s="46">
        <f>SUMPRODUCT(D35:J35,D43:J43)</f>
        <v>15300</v>
      </c>
    </row>
    <row r="44" spans="1:13" x14ac:dyDescent="0.3">
      <c r="C44" s="45" t="s">
        <v>139</v>
      </c>
      <c r="D44" s="1">
        <v>2.2999999999999998</v>
      </c>
      <c r="E44" s="1">
        <v>2.25</v>
      </c>
      <c r="F44" s="1">
        <v>1.85</v>
      </c>
      <c r="G44" s="1">
        <v>1.25</v>
      </c>
      <c r="H44" s="1">
        <v>1.5</v>
      </c>
      <c r="I44" s="1">
        <v>2.25</v>
      </c>
      <c r="J44" s="46">
        <v>2</v>
      </c>
      <c r="K44" s="45">
        <v>39</v>
      </c>
      <c r="L44" s="1">
        <f>K44*K36</f>
        <v>775320</v>
      </c>
      <c r="M44" s="46">
        <f>SUMPRODUCT(D36:J36,D44:J44)</f>
        <v>30910</v>
      </c>
    </row>
    <row r="45" spans="1:13" ht="15" thickBot="1" x14ac:dyDescent="0.35">
      <c r="C45" s="47" t="s">
        <v>140</v>
      </c>
      <c r="D45" s="48">
        <v>1.9</v>
      </c>
      <c r="E45" s="48">
        <v>0.9</v>
      </c>
      <c r="F45" s="48">
        <v>1.6</v>
      </c>
      <c r="G45" s="48">
        <v>1.75</v>
      </c>
      <c r="H45" s="48">
        <v>2</v>
      </c>
      <c r="I45" s="48">
        <v>2.5</v>
      </c>
      <c r="J45" s="49">
        <v>2.65</v>
      </c>
      <c r="K45" s="47">
        <v>36.25</v>
      </c>
      <c r="L45" s="48">
        <f>K45*K37</f>
        <v>725000</v>
      </c>
      <c r="M45" s="49">
        <f>SUMPRODUCT(D37:J37,D45:J45)</f>
        <v>25920</v>
      </c>
    </row>
    <row r="46" spans="1:13" ht="15" thickBot="1" x14ac:dyDescent="0.35">
      <c r="K46" s="4" t="s">
        <v>212</v>
      </c>
      <c r="L46" s="93">
        <f>SUM(L42:L45)</f>
        <v>2701820</v>
      </c>
      <c r="M46" s="94">
        <f>SUM(M42:M45)</f>
        <v>103630</v>
      </c>
    </row>
    <row r="48" spans="1:13" x14ac:dyDescent="0.3">
      <c r="A48" t="s">
        <v>46</v>
      </c>
      <c r="C48" s="1" t="s">
        <v>129</v>
      </c>
      <c r="D48" s="1" t="s">
        <v>130</v>
      </c>
      <c r="E48" s="1" t="s">
        <v>131</v>
      </c>
      <c r="F48" s="1" t="s">
        <v>132</v>
      </c>
      <c r="G48" s="1" t="s">
        <v>133</v>
      </c>
      <c r="H48" s="1" t="s">
        <v>134</v>
      </c>
      <c r="I48" s="1" t="s">
        <v>135</v>
      </c>
      <c r="J48" s="1" t="s">
        <v>136</v>
      </c>
    </row>
    <row r="49" spans="1:15" x14ac:dyDescent="0.3">
      <c r="C49" s="1" t="s">
        <v>257</v>
      </c>
      <c r="D49" s="1">
        <v>8500</v>
      </c>
      <c r="E49" s="1">
        <v>14500</v>
      </c>
      <c r="F49" s="1">
        <v>13500</v>
      </c>
      <c r="G49" s="1">
        <v>12600</v>
      </c>
      <c r="H49" s="1">
        <v>18000</v>
      </c>
      <c r="I49" s="1">
        <v>15000</v>
      </c>
      <c r="J49" s="1">
        <v>9000</v>
      </c>
    </row>
    <row r="50" spans="1:15" x14ac:dyDescent="0.3">
      <c r="C50" s="50">
        <v>0.8</v>
      </c>
      <c r="D50" s="1">
        <f>$C$50*D49</f>
        <v>6800</v>
      </c>
      <c r="E50" s="1">
        <f t="shared" ref="E50:J50" si="2">$C$50*E49</f>
        <v>11600</v>
      </c>
      <c r="F50" s="1">
        <f t="shared" si="2"/>
        <v>10800</v>
      </c>
      <c r="G50" s="1">
        <f t="shared" si="2"/>
        <v>10080</v>
      </c>
      <c r="H50" s="1">
        <f t="shared" si="2"/>
        <v>14400</v>
      </c>
      <c r="I50" s="1">
        <f t="shared" si="2"/>
        <v>12000</v>
      </c>
      <c r="J50" s="1">
        <f t="shared" si="2"/>
        <v>7200</v>
      </c>
    </row>
    <row r="52" spans="1:15" x14ac:dyDescent="0.3">
      <c r="C52" s="1" t="s">
        <v>129</v>
      </c>
      <c r="D52" s="1" t="s">
        <v>144</v>
      </c>
    </row>
    <row r="53" spans="1:15" x14ac:dyDescent="0.3">
      <c r="C53" s="1" t="s">
        <v>137</v>
      </c>
      <c r="D53" s="1">
        <v>18000</v>
      </c>
    </row>
    <row r="54" spans="1:15" x14ac:dyDescent="0.3">
      <c r="C54" s="1" t="s">
        <v>138</v>
      </c>
      <c r="D54" s="1">
        <v>15000</v>
      </c>
    </row>
    <row r="55" spans="1:15" x14ac:dyDescent="0.3">
      <c r="C55" s="1" t="s">
        <v>139</v>
      </c>
      <c r="D55" s="51">
        <v>25000</v>
      </c>
      <c r="E55" t="s">
        <v>376</v>
      </c>
      <c r="G55" s="24">
        <f>D55-K36</f>
        <v>5120</v>
      </c>
      <c r="H55" s="143" t="s">
        <v>432</v>
      </c>
    </row>
    <row r="56" spans="1:15" x14ac:dyDescent="0.3">
      <c r="C56" s="1" t="s">
        <v>140</v>
      </c>
      <c r="D56" s="1">
        <v>20000</v>
      </c>
    </row>
    <row r="58" spans="1:15" x14ac:dyDescent="0.3">
      <c r="A58" s="2" t="s">
        <v>112</v>
      </c>
      <c r="B58" t="s">
        <v>146</v>
      </c>
    </row>
    <row r="59" spans="1:15" x14ac:dyDescent="0.3">
      <c r="A59" s="4"/>
    </row>
    <row r="60" spans="1:15" ht="13.8" customHeight="1" x14ac:dyDescent="0.3">
      <c r="A60" s="4" t="s">
        <v>3</v>
      </c>
      <c r="B60" s="145" t="s">
        <v>373</v>
      </c>
      <c r="C60" s="145"/>
      <c r="D60" s="145"/>
      <c r="E60" s="145"/>
      <c r="F60" s="145"/>
      <c r="G60" s="145"/>
      <c r="H60" s="145"/>
      <c r="I60" s="145"/>
      <c r="J60" s="145"/>
      <c r="K60" s="145"/>
      <c r="L60" s="145"/>
      <c r="M60" s="145"/>
      <c r="O60" s="96"/>
    </row>
    <row r="61" spans="1:15" x14ac:dyDescent="0.3">
      <c r="B61" s="145"/>
      <c r="C61" s="145"/>
      <c r="D61" s="145"/>
      <c r="E61" s="145"/>
      <c r="F61" s="145"/>
      <c r="G61" s="145"/>
      <c r="H61" s="145"/>
      <c r="I61" s="145"/>
      <c r="J61" s="145"/>
      <c r="K61" s="145"/>
      <c r="L61" s="145"/>
      <c r="M61" s="145"/>
    </row>
    <row r="62" spans="1:15" x14ac:dyDescent="0.3">
      <c r="B62" s="145"/>
      <c r="C62" s="145"/>
      <c r="D62" s="145"/>
      <c r="E62" s="145"/>
      <c r="F62" s="145"/>
      <c r="G62" s="145"/>
      <c r="H62" s="145"/>
      <c r="I62" s="145"/>
      <c r="J62" s="145"/>
      <c r="K62" s="145"/>
      <c r="L62" s="145"/>
      <c r="M62" s="145"/>
    </row>
    <row r="63" spans="1:15" x14ac:dyDescent="0.3">
      <c r="B63" s="145" t="s">
        <v>378</v>
      </c>
      <c r="C63" s="145"/>
      <c r="D63" s="145"/>
      <c r="E63" s="145"/>
      <c r="F63" s="145"/>
      <c r="G63" s="145"/>
      <c r="H63" s="145"/>
      <c r="I63" s="145"/>
      <c r="J63" s="145"/>
      <c r="K63" s="145"/>
      <c r="L63" s="145"/>
      <c r="M63" s="145"/>
    </row>
    <row r="64" spans="1:15" x14ac:dyDescent="0.3">
      <c r="B64" s="145"/>
      <c r="C64" s="145"/>
      <c r="D64" s="145"/>
      <c r="E64" s="145"/>
      <c r="F64" s="145"/>
      <c r="G64" s="145"/>
      <c r="H64" s="145"/>
      <c r="I64" s="145"/>
      <c r="J64" s="145"/>
      <c r="K64" s="145"/>
      <c r="L64" s="145"/>
      <c r="M64" s="145"/>
    </row>
    <row r="66" spans="2:5" x14ac:dyDescent="0.3">
      <c r="B66" t="s">
        <v>374</v>
      </c>
      <c r="D66" s="92">
        <f>5120*K44</f>
        <v>199680</v>
      </c>
      <c r="E66" s="72" t="s">
        <v>410</v>
      </c>
    </row>
    <row r="67" spans="2:5" x14ac:dyDescent="0.3">
      <c r="B67" t="s">
        <v>375</v>
      </c>
      <c r="D67" s="92">
        <f>G44*2520+2600*H44</f>
        <v>7050</v>
      </c>
      <c r="E67" s="123">
        <f>D66+D67+D40</f>
        <v>3012180</v>
      </c>
    </row>
  </sheetData>
  <mergeCells count="2">
    <mergeCell ref="B60:M62"/>
    <mergeCell ref="B63:M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72DD-BBBB-4466-8252-ACD56FB98BD7}">
  <sheetPr>
    <tabColor theme="8" tint="0.59999389629810485"/>
  </sheetPr>
  <dimension ref="A1:M25"/>
  <sheetViews>
    <sheetView workbookViewId="0">
      <selection activeCell="R19" sqref="R19"/>
    </sheetView>
  </sheetViews>
  <sheetFormatPr defaultRowHeight="14.4" x14ac:dyDescent="0.3"/>
  <cols>
    <col min="5" max="5" width="10.109375" customWidth="1"/>
  </cols>
  <sheetData>
    <row r="1" spans="1:5" x14ac:dyDescent="0.3">
      <c r="A1" s="19" t="s">
        <v>26</v>
      </c>
    </row>
    <row r="2" spans="1:5" x14ac:dyDescent="0.3">
      <c r="A2" s="19"/>
    </row>
    <row r="3" spans="1:5" x14ac:dyDescent="0.3">
      <c r="A3" s="19" t="s">
        <v>42</v>
      </c>
    </row>
    <row r="5" spans="1:5" ht="45" customHeight="1" x14ac:dyDescent="0.3">
      <c r="A5" s="1"/>
      <c r="B5" s="16" t="s">
        <v>27</v>
      </c>
      <c r="C5" s="16" t="s">
        <v>28</v>
      </c>
      <c r="D5" s="16" t="s">
        <v>29</v>
      </c>
      <c r="E5" s="16" t="s">
        <v>30</v>
      </c>
    </row>
    <row r="6" spans="1:5" x14ac:dyDescent="0.3">
      <c r="A6" s="17" t="s">
        <v>31</v>
      </c>
      <c r="B6" s="18">
        <v>42</v>
      </c>
      <c r="C6" s="18">
        <v>30</v>
      </c>
      <c r="D6" s="18">
        <v>60</v>
      </c>
      <c r="E6" s="18">
        <v>6</v>
      </c>
    </row>
    <row r="7" spans="1:5" x14ac:dyDescent="0.3">
      <c r="A7" s="17" t="s">
        <v>32</v>
      </c>
      <c r="B7" s="18">
        <v>60</v>
      </c>
      <c r="C7" s="18">
        <v>50</v>
      </c>
      <c r="D7" s="18">
        <v>40</v>
      </c>
      <c r="E7" s="18">
        <v>15</v>
      </c>
    </row>
    <row r="9" spans="1:5" x14ac:dyDescent="0.3">
      <c r="A9" s="19" t="s">
        <v>43</v>
      </c>
    </row>
    <row r="10" spans="1:5" x14ac:dyDescent="0.3">
      <c r="A10" s="19"/>
    </row>
    <row r="11" spans="1:5" x14ac:dyDescent="0.3">
      <c r="A11" s="19" t="s">
        <v>33</v>
      </c>
    </row>
    <row r="14" spans="1:5" x14ac:dyDescent="0.3">
      <c r="B14" t="s">
        <v>4</v>
      </c>
      <c r="C14" t="s">
        <v>44</v>
      </c>
      <c r="D14" t="s">
        <v>45</v>
      </c>
    </row>
    <row r="15" spans="1:5" x14ac:dyDescent="0.3">
      <c r="B15" s="24" t="s">
        <v>5</v>
      </c>
      <c r="C15" s="3">
        <v>540</v>
      </c>
      <c r="D15" s="3">
        <v>252</v>
      </c>
    </row>
    <row r="17" spans="1:13" x14ac:dyDescent="0.3">
      <c r="A17" t="s">
        <v>2</v>
      </c>
      <c r="B17" t="s">
        <v>6</v>
      </c>
      <c r="C17">
        <v>10</v>
      </c>
      <c r="D17">
        <v>9</v>
      </c>
      <c r="E17" s="33">
        <f>SUMPRODUCT(C17:D17,C15:D15)</f>
        <v>7668</v>
      </c>
      <c r="F17" s="24" t="s">
        <v>72</v>
      </c>
    </row>
    <row r="18" spans="1:13" x14ac:dyDescent="0.3">
      <c r="H18" s="21" t="s">
        <v>51</v>
      </c>
    </row>
    <row r="19" spans="1:13" x14ac:dyDescent="0.3">
      <c r="A19" t="s">
        <v>46</v>
      </c>
      <c r="B19" t="s">
        <v>47</v>
      </c>
      <c r="C19">
        <v>42</v>
      </c>
      <c r="D19">
        <v>60</v>
      </c>
      <c r="E19" s="1">
        <f>SUMPRODUCT(C19:D19,$C$15:$D$15)</f>
        <v>37800</v>
      </c>
      <c r="F19">
        <f>630*60</f>
        <v>37800</v>
      </c>
      <c r="H19" s="1">
        <f>F19-E19</f>
        <v>0</v>
      </c>
    </row>
    <row r="20" spans="1:13" x14ac:dyDescent="0.3">
      <c r="B20" t="s">
        <v>48</v>
      </c>
      <c r="C20">
        <v>30</v>
      </c>
      <c r="D20">
        <v>50</v>
      </c>
      <c r="E20" s="1">
        <f t="shared" ref="E20:E21" si="0">SUMPRODUCT(C20:D20,$C$15:$D$15)</f>
        <v>28800</v>
      </c>
      <c r="F20">
        <f>600*60</f>
        <v>36000</v>
      </c>
      <c r="H20" s="1">
        <f t="shared" ref="H20:H22" si="1">F20-E20</f>
        <v>7200</v>
      </c>
    </row>
    <row r="21" spans="1:13" x14ac:dyDescent="0.3">
      <c r="B21" t="s">
        <v>49</v>
      </c>
      <c r="C21">
        <v>60</v>
      </c>
      <c r="D21">
        <v>40</v>
      </c>
      <c r="E21" s="1">
        <f t="shared" si="0"/>
        <v>42480</v>
      </c>
      <c r="F21">
        <f>708*60</f>
        <v>42480</v>
      </c>
      <c r="H21" s="1">
        <f t="shared" si="1"/>
        <v>0</v>
      </c>
    </row>
    <row r="22" spans="1:13" x14ac:dyDescent="0.3">
      <c r="B22" t="s">
        <v>50</v>
      </c>
      <c r="C22">
        <v>6</v>
      </c>
      <c r="D22">
        <v>15</v>
      </c>
      <c r="E22" s="1">
        <f>SUMPRODUCT(C22:D22,$C$15:$D$15)</f>
        <v>7020</v>
      </c>
      <c r="F22">
        <f>135*60</f>
        <v>8100</v>
      </c>
      <c r="H22" s="1">
        <f t="shared" si="1"/>
        <v>1080</v>
      </c>
    </row>
    <row r="25" spans="1:13" x14ac:dyDescent="0.3">
      <c r="A25" s="4" t="s">
        <v>3</v>
      </c>
      <c r="B25" s="23" t="s">
        <v>405</v>
      </c>
      <c r="C25" s="23"/>
      <c r="D25" s="23"/>
      <c r="E25" s="23"/>
      <c r="F25" s="23"/>
      <c r="G25" s="23"/>
      <c r="H25" s="23"/>
      <c r="I25" s="23"/>
      <c r="J25" s="23"/>
      <c r="K25" s="23"/>
      <c r="L25" s="23"/>
      <c r="M25"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166B-BC91-4C27-84CA-0D8B113BAA12}">
  <sheetPr>
    <tabColor theme="7" tint="0.59999389629810485"/>
  </sheetPr>
  <dimension ref="A1:Q24"/>
  <sheetViews>
    <sheetView workbookViewId="0">
      <selection activeCell="G22" sqref="G22"/>
    </sheetView>
  </sheetViews>
  <sheetFormatPr defaultRowHeight="14.4" x14ac:dyDescent="0.3"/>
  <cols>
    <col min="1" max="1" width="12.5546875" customWidth="1"/>
    <col min="3" max="3" width="11.33203125" customWidth="1"/>
    <col min="6" max="6" width="4.44140625" customWidth="1"/>
  </cols>
  <sheetData>
    <row r="1" spans="1:7" x14ac:dyDescent="0.3">
      <c r="A1" s="19" t="s">
        <v>34</v>
      </c>
    </row>
    <row r="2" spans="1:7" x14ac:dyDescent="0.3">
      <c r="A2" s="19"/>
    </row>
    <row r="3" spans="1:7" x14ac:dyDescent="0.3">
      <c r="A3" s="19" t="s">
        <v>35</v>
      </c>
    </row>
    <row r="5" spans="1:7" ht="27.6" customHeight="1" x14ac:dyDescent="0.3">
      <c r="A5" s="1"/>
      <c r="B5" s="18" t="s">
        <v>31</v>
      </c>
      <c r="C5" s="18" t="s">
        <v>36</v>
      </c>
    </row>
    <row r="6" spans="1:7" x14ac:dyDescent="0.3">
      <c r="A6" s="17" t="s">
        <v>37</v>
      </c>
      <c r="B6" s="18">
        <v>0.84</v>
      </c>
      <c r="C6" s="18">
        <v>0.57999999999999996</v>
      </c>
    </row>
    <row r="7" spans="1:7" x14ac:dyDescent="0.3">
      <c r="A7" s="17" t="s">
        <v>38</v>
      </c>
      <c r="B7" s="18">
        <v>0.1</v>
      </c>
      <c r="C7" s="18">
        <v>0.3</v>
      </c>
    </row>
    <row r="8" spans="1:7" x14ac:dyDescent="0.3">
      <c r="A8" s="17" t="s">
        <v>39</v>
      </c>
      <c r="B8" s="18">
        <v>0.06</v>
      </c>
      <c r="C8" s="18">
        <v>0.12</v>
      </c>
    </row>
    <row r="10" spans="1:7" x14ac:dyDescent="0.3">
      <c r="A10" t="s">
        <v>40</v>
      </c>
    </row>
    <row r="12" spans="1:7" x14ac:dyDescent="0.3">
      <c r="A12" s="19" t="s">
        <v>41</v>
      </c>
    </row>
    <row r="15" spans="1:7" x14ac:dyDescent="0.3">
      <c r="B15" t="s">
        <v>4</v>
      </c>
      <c r="C15" t="s">
        <v>56</v>
      </c>
      <c r="D15" t="s">
        <v>55</v>
      </c>
    </row>
    <row r="16" spans="1:7" x14ac:dyDescent="0.3">
      <c r="B16" t="s">
        <v>5</v>
      </c>
      <c r="C16" s="3">
        <v>15</v>
      </c>
      <c r="D16" s="3">
        <v>15</v>
      </c>
      <c r="E16">
        <f>C16+D16</f>
        <v>30</v>
      </c>
      <c r="F16" s="22" t="s">
        <v>60</v>
      </c>
      <c r="G16">
        <v>30</v>
      </c>
    </row>
    <row r="18" spans="1:17" x14ac:dyDescent="0.3">
      <c r="A18" t="s">
        <v>2</v>
      </c>
      <c r="B18" t="s">
        <v>54</v>
      </c>
      <c r="C18">
        <v>7.5</v>
      </c>
      <c r="D18">
        <v>9</v>
      </c>
      <c r="E18" s="33">
        <f>SUMPRODUCT(C18:D18,C16:D16)</f>
        <v>247.5</v>
      </c>
      <c r="F18" t="s">
        <v>16</v>
      </c>
    </row>
    <row r="20" spans="1:17" x14ac:dyDescent="0.3">
      <c r="A20" t="s">
        <v>46</v>
      </c>
      <c r="B20" t="s">
        <v>52</v>
      </c>
      <c r="C20">
        <v>0.84</v>
      </c>
      <c r="D20">
        <v>0.57999999999999996</v>
      </c>
      <c r="E20" s="1">
        <f>SUMPRODUCT(C20:D20,$C$16:$D$16)</f>
        <v>21.299999999999997</v>
      </c>
    </row>
    <row r="21" spans="1:17" x14ac:dyDescent="0.3">
      <c r="B21" t="s">
        <v>57</v>
      </c>
      <c r="C21">
        <v>0.1</v>
      </c>
      <c r="D21">
        <v>0.3</v>
      </c>
      <c r="E21" s="1">
        <f>SUMPRODUCT(C21:D21,$C$16:$D$16)</f>
        <v>6</v>
      </c>
      <c r="F21" t="s">
        <v>59</v>
      </c>
      <c r="G21">
        <f>0.2*30</f>
        <v>6</v>
      </c>
    </row>
    <row r="22" spans="1:17" x14ac:dyDescent="0.3">
      <c r="B22" t="s">
        <v>58</v>
      </c>
      <c r="C22">
        <v>0.06</v>
      </c>
      <c r="D22">
        <v>0.12</v>
      </c>
      <c r="E22" s="1">
        <f t="shared" ref="E22" si="0">SUMPRODUCT(C22:D22,$C$16:$D$16)</f>
        <v>2.6999999999999997</v>
      </c>
      <c r="F22" t="s">
        <v>25</v>
      </c>
      <c r="G22">
        <f>0.1*30</f>
        <v>3</v>
      </c>
    </row>
    <row r="24" spans="1:17" x14ac:dyDescent="0.3">
      <c r="A24" s="4" t="s">
        <v>3</v>
      </c>
      <c r="B24" s="23" t="s">
        <v>406</v>
      </c>
      <c r="C24" s="23"/>
      <c r="D24" s="23"/>
      <c r="E24" s="23"/>
      <c r="F24" s="23"/>
      <c r="G24" s="23"/>
      <c r="H24" s="23"/>
      <c r="I24" s="23"/>
      <c r="J24" s="23"/>
      <c r="K24" s="23"/>
      <c r="L24" s="23"/>
      <c r="M24" s="23"/>
      <c r="N24" s="23"/>
      <c r="O24" s="23"/>
      <c r="P24" s="23"/>
      <c r="Q24"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83280-18B5-4450-975A-7286E53FCAAC}">
  <sheetPr>
    <tabColor rgb="FFBF978B"/>
  </sheetPr>
  <dimension ref="A1:K26"/>
  <sheetViews>
    <sheetView workbookViewId="0">
      <selection activeCell="F17" sqref="F17"/>
    </sheetView>
  </sheetViews>
  <sheetFormatPr defaultRowHeight="14.4" x14ac:dyDescent="0.3"/>
  <cols>
    <col min="5" max="5" width="10.21875" customWidth="1"/>
    <col min="6" max="6" width="12.5546875" customWidth="1"/>
  </cols>
  <sheetData>
    <row r="1" spans="1:5" x14ac:dyDescent="0.3">
      <c r="A1" t="s">
        <v>151</v>
      </c>
    </row>
    <row r="3" spans="1:5" x14ac:dyDescent="0.3">
      <c r="A3" t="s">
        <v>153</v>
      </c>
    </row>
    <row r="4" spans="1:5" x14ac:dyDescent="0.3">
      <c r="A4" t="s">
        <v>154</v>
      </c>
    </row>
    <row r="5" spans="1:5" x14ac:dyDescent="0.3">
      <c r="A5" t="s">
        <v>155</v>
      </c>
    </row>
    <row r="7" spans="1:5" x14ac:dyDescent="0.3">
      <c r="A7" t="s">
        <v>152</v>
      </c>
    </row>
    <row r="9" spans="1:5" x14ac:dyDescent="0.3">
      <c r="B9" s="1"/>
      <c r="C9" s="1" t="s">
        <v>213</v>
      </c>
      <c r="D9" s="1" t="s">
        <v>214</v>
      </c>
      <c r="E9" s="1" t="s">
        <v>217</v>
      </c>
    </row>
    <row r="10" spans="1:5" x14ac:dyDescent="0.3">
      <c r="B10" s="1" t="s">
        <v>215</v>
      </c>
      <c r="C10" s="1">
        <v>0.5</v>
      </c>
      <c r="D10" s="1">
        <v>0.5</v>
      </c>
      <c r="E10" s="1">
        <v>1</v>
      </c>
    </row>
    <row r="11" spans="1:5" x14ac:dyDescent="0.3">
      <c r="B11" s="1" t="s">
        <v>216</v>
      </c>
      <c r="C11" s="1">
        <v>0.75</v>
      </c>
      <c r="D11" s="1">
        <v>0.25</v>
      </c>
      <c r="E11" s="1">
        <v>1.6</v>
      </c>
    </row>
    <row r="15" spans="1:5" x14ac:dyDescent="0.3">
      <c r="B15" t="s">
        <v>4</v>
      </c>
      <c r="C15" s="72" t="s">
        <v>215</v>
      </c>
      <c r="D15" s="72" t="s">
        <v>216</v>
      </c>
    </row>
    <row r="16" spans="1:5" x14ac:dyDescent="0.3">
      <c r="B16" t="s">
        <v>208</v>
      </c>
      <c r="C16" s="3">
        <v>120</v>
      </c>
      <c r="D16" s="3">
        <v>0</v>
      </c>
    </row>
    <row r="20" spans="1:11" x14ac:dyDescent="0.3">
      <c r="A20" t="s">
        <v>2</v>
      </c>
      <c r="B20" t="s">
        <v>54</v>
      </c>
      <c r="C20">
        <v>1</v>
      </c>
      <c r="D20">
        <v>1.6</v>
      </c>
      <c r="E20" s="97">
        <f>SUMPRODUCT(C20:D20,C16:D16)</f>
        <v>120</v>
      </c>
      <c r="F20" t="s">
        <v>16</v>
      </c>
    </row>
    <row r="21" spans="1:11" x14ac:dyDescent="0.3">
      <c r="C21" t="s">
        <v>215</v>
      </c>
      <c r="D21" t="s">
        <v>216</v>
      </c>
      <c r="F21" s="24" t="s">
        <v>370</v>
      </c>
    </row>
    <row r="22" spans="1:11" x14ac:dyDescent="0.3">
      <c r="A22" t="s">
        <v>46</v>
      </c>
      <c r="B22" s="1" t="s">
        <v>213</v>
      </c>
      <c r="C22" s="1">
        <v>0.5</v>
      </c>
      <c r="D22" s="1">
        <v>0.75</v>
      </c>
      <c r="E22" s="1">
        <f>SUMPRODUCT(C22:D22,C16:D16)</f>
        <v>60</v>
      </c>
      <c r="F22">
        <v>60</v>
      </c>
    </row>
    <row r="23" spans="1:11" x14ac:dyDescent="0.3">
      <c r="B23" s="1" t="s">
        <v>214</v>
      </c>
      <c r="C23" s="1">
        <v>0.5</v>
      </c>
      <c r="D23" s="1">
        <v>0.25</v>
      </c>
      <c r="E23" s="1">
        <f>SUMPRODUCT(C16:D16,C23:D23)</f>
        <v>60</v>
      </c>
      <c r="F23">
        <v>40</v>
      </c>
    </row>
    <row r="26" spans="1:11" x14ac:dyDescent="0.3">
      <c r="A26" s="4" t="s">
        <v>415</v>
      </c>
      <c r="B26" s="23" t="s">
        <v>440</v>
      </c>
      <c r="C26" s="23"/>
      <c r="D26" s="23"/>
      <c r="E26" s="23"/>
      <c r="F26" s="23"/>
      <c r="G26" s="23"/>
      <c r="H26" s="23"/>
      <c r="I26" s="23"/>
      <c r="J26" s="23"/>
      <c r="K26"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28215-52D8-43DE-8A93-C46C3BAD993B}">
  <sheetPr>
    <tabColor rgb="FFD6AE96"/>
  </sheetPr>
  <dimension ref="A1:N36"/>
  <sheetViews>
    <sheetView topLeftCell="A9" workbookViewId="0">
      <selection activeCell="C19" sqref="C19:E19"/>
    </sheetView>
  </sheetViews>
  <sheetFormatPr defaultRowHeight="14.4" x14ac:dyDescent="0.3"/>
  <cols>
    <col min="2" max="2" width="14" customWidth="1"/>
    <col min="6" max="6" width="12.21875" customWidth="1"/>
    <col min="13" max="13" width="34.6640625" customWidth="1"/>
  </cols>
  <sheetData>
    <row r="1" spans="1:6" x14ac:dyDescent="0.3">
      <c r="A1" t="s">
        <v>156</v>
      </c>
    </row>
    <row r="3" spans="1:6" x14ac:dyDescent="0.3">
      <c r="A3" t="s">
        <v>157</v>
      </c>
    </row>
    <row r="5" spans="1:6" x14ac:dyDescent="0.3">
      <c r="A5" t="s">
        <v>167</v>
      </c>
    </row>
    <row r="7" spans="1:6" x14ac:dyDescent="0.3">
      <c r="A7" t="s">
        <v>168</v>
      </c>
    </row>
    <row r="8" spans="1:6" x14ac:dyDescent="0.3">
      <c r="B8" t="s">
        <v>158</v>
      </c>
      <c r="C8" t="s">
        <v>159</v>
      </c>
      <c r="D8" t="s">
        <v>160</v>
      </c>
      <c r="E8" t="s">
        <v>161</v>
      </c>
      <c r="F8" t="s">
        <v>162</v>
      </c>
    </row>
    <row r="9" spans="1:6" x14ac:dyDescent="0.3">
      <c r="A9" t="s">
        <v>163</v>
      </c>
      <c r="B9" s="1">
        <v>0.5</v>
      </c>
      <c r="C9" s="1">
        <v>0.3</v>
      </c>
      <c r="D9" s="1">
        <v>0.2</v>
      </c>
      <c r="E9" s="1">
        <v>0</v>
      </c>
      <c r="F9" s="55">
        <v>8</v>
      </c>
    </row>
    <row r="10" spans="1:6" x14ac:dyDescent="0.3">
      <c r="A10" t="s">
        <v>164</v>
      </c>
      <c r="B10" s="1">
        <v>0.2</v>
      </c>
      <c r="C10" s="1">
        <v>0.4</v>
      </c>
      <c r="D10" s="1">
        <v>0.3</v>
      </c>
      <c r="E10" s="1">
        <v>0.1</v>
      </c>
      <c r="F10" s="55">
        <v>5</v>
      </c>
    </row>
    <row r="11" spans="1:6" x14ac:dyDescent="0.3">
      <c r="A11" t="s">
        <v>165</v>
      </c>
      <c r="B11" s="1">
        <v>0.05</v>
      </c>
      <c r="C11" s="1">
        <v>0.2</v>
      </c>
      <c r="D11" s="1">
        <v>0.35</v>
      </c>
      <c r="E11" s="1">
        <v>0.4</v>
      </c>
      <c r="F11" s="55">
        <v>3</v>
      </c>
    </row>
    <row r="13" spans="1:6" x14ac:dyDescent="0.3">
      <c r="A13" t="s">
        <v>169</v>
      </c>
    </row>
    <row r="14" spans="1:6" x14ac:dyDescent="0.3">
      <c r="A14" t="s">
        <v>170</v>
      </c>
    </row>
    <row r="15" spans="1:6" x14ac:dyDescent="0.3">
      <c r="A15" t="s">
        <v>171</v>
      </c>
    </row>
    <row r="17" spans="1:14" x14ac:dyDescent="0.3">
      <c r="A17" t="s">
        <v>166</v>
      </c>
    </row>
    <row r="19" spans="1:14" x14ac:dyDescent="0.3">
      <c r="B19" t="s">
        <v>4</v>
      </c>
      <c r="C19" t="s">
        <v>163</v>
      </c>
      <c r="D19" t="s">
        <v>164</v>
      </c>
      <c r="E19" t="s">
        <v>165</v>
      </c>
      <c r="M19" s="1"/>
      <c r="N19" s="1" t="s">
        <v>251</v>
      </c>
    </row>
    <row r="20" spans="1:14" x14ac:dyDescent="0.3">
      <c r="B20" t="s">
        <v>247</v>
      </c>
      <c r="C20" s="3">
        <v>68</v>
      </c>
      <c r="D20" s="3">
        <v>50</v>
      </c>
      <c r="E20" s="3">
        <v>120</v>
      </c>
      <c r="M20" s="1" t="s">
        <v>249</v>
      </c>
      <c r="N20" s="1">
        <v>1141.818181818182</v>
      </c>
    </row>
    <row r="21" spans="1:14" x14ac:dyDescent="0.3">
      <c r="M21" s="1" t="s">
        <v>252</v>
      </c>
      <c r="N21" s="20">
        <v>1154</v>
      </c>
    </row>
    <row r="22" spans="1:14" x14ac:dyDescent="0.3">
      <c r="A22" t="s">
        <v>2</v>
      </c>
      <c r="B22" t="s">
        <v>54</v>
      </c>
      <c r="C22" s="55">
        <v>8</v>
      </c>
      <c r="D22" s="55">
        <v>5</v>
      </c>
      <c r="E22" s="55">
        <v>3</v>
      </c>
      <c r="F22" s="100">
        <f>SUMPRODUCT(C22:E22,C20:E20)</f>
        <v>1154</v>
      </c>
      <c r="G22" s="24" t="s">
        <v>16</v>
      </c>
      <c r="M22" s="1" t="s">
        <v>250</v>
      </c>
      <c r="N22" s="1">
        <v>1188.24</v>
      </c>
    </row>
    <row r="25" spans="1:14" x14ac:dyDescent="0.3">
      <c r="A25" t="s">
        <v>46</v>
      </c>
      <c r="B25" t="s">
        <v>158</v>
      </c>
      <c r="C25">
        <v>0.5</v>
      </c>
      <c r="D25">
        <v>0.2</v>
      </c>
      <c r="E25">
        <v>0.05</v>
      </c>
      <c r="F25" s="1">
        <f>SUMPRODUCT(C25:E25,$C$20:$E$20)</f>
        <v>50</v>
      </c>
      <c r="G25">
        <v>50</v>
      </c>
    </row>
    <row r="26" spans="1:14" x14ac:dyDescent="0.3">
      <c r="B26" t="s">
        <v>159</v>
      </c>
      <c r="C26">
        <v>0.3</v>
      </c>
      <c r="D26">
        <v>0.4</v>
      </c>
      <c r="E26">
        <v>0.2</v>
      </c>
      <c r="F26" s="1">
        <f t="shared" ref="F26:F28" si="0">SUMPRODUCT(C26:E26,$C$20:$E$20)</f>
        <v>64.400000000000006</v>
      </c>
      <c r="G26">
        <v>60</v>
      </c>
    </row>
    <row r="27" spans="1:14" x14ac:dyDescent="0.3">
      <c r="B27" t="s">
        <v>160</v>
      </c>
      <c r="C27">
        <v>0.2</v>
      </c>
      <c r="D27">
        <v>0.3</v>
      </c>
      <c r="E27">
        <v>0.35</v>
      </c>
      <c r="F27" s="1">
        <f t="shared" si="0"/>
        <v>70.599999999999994</v>
      </c>
      <c r="G27">
        <v>70</v>
      </c>
    </row>
    <row r="28" spans="1:14" x14ac:dyDescent="0.3">
      <c r="B28" t="s">
        <v>161</v>
      </c>
      <c r="C28">
        <v>0</v>
      </c>
      <c r="D28">
        <v>0.1</v>
      </c>
      <c r="E28">
        <v>0.4</v>
      </c>
      <c r="F28" s="1">
        <f t="shared" si="0"/>
        <v>53</v>
      </c>
      <c r="G28">
        <v>30</v>
      </c>
    </row>
    <row r="30" spans="1:14" ht="14.4" customHeight="1" x14ac:dyDescent="0.3">
      <c r="B30" s="147" t="s">
        <v>248</v>
      </c>
      <c r="C30">
        <v>50</v>
      </c>
      <c r="D30">
        <v>50</v>
      </c>
      <c r="E30">
        <v>50</v>
      </c>
    </row>
    <row r="31" spans="1:14" x14ac:dyDescent="0.3">
      <c r="B31" s="147"/>
    </row>
    <row r="32" spans="1:14" x14ac:dyDescent="0.3">
      <c r="B32" s="147"/>
    </row>
    <row r="35" spans="1:10" x14ac:dyDescent="0.3">
      <c r="A35" s="4" t="s">
        <v>3</v>
      </c>
      <c r="B35" s="145" t="s">
        <v>420</v>
      </c>
      <c r="C35" s="145"/>
      <c r="D35" s="145"/>
      <c r="E35" s="145"/>
      <c r="F35" s="145"/>
      <c r="G35" s="145"/>
      <c r="H35" s="145"/>
      <c r="I35" s="145"/>
      <c r="J35" s="145"/>
    </row>
    <row r="36" spans="1:10" x14ac:dyDescent="0.3">
      <c r="B36" s="145"/>
      <c r="C36" s="145"/>
      <c r="D36" s="145"/>
      <c r="E36" s="145"/>
      <c r="F36" s="145"/>
      <c r="G36" s="145"/>
      <c r="H36" s="145"/>
      <c r="I36" s="145"/>
      <c r="J36" s="145"/>
    </row>
  </sheetData>
  <mergeCells count="2">
    <mergeCell ref="B30:B32"/>
    <mergeCell ref="B35:J3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197C1-FCE1-437D-9821-893EA4C21624}">
  <sheetPr>
    <tabColor theme="8" tint="0.59999389629810485"/>
  </sheetPr>
  <dimension ref="A1:U32"/>
  <sheetViews>
    <sheetView workbookViewId="0">
      <selection activeCell="G30" sqref="G30"/>
    </sheetView>
  </sheetViews>
  <sheetFormatPr defaultRowHeight="14.4" x14ac:dyDescent="0.3"/>
  <cols>
    <col min="1" max="1" width="13" customWidth="1"/>
    <col min="2" max="3" width="18.109375" customWidth="1"/>
    <col min="4" max="4" width="19.21875" customWidth="1"/>
    <col min="6" max="6" width="13.6640625" customWidth="1"/>
    <col min="13" max="13" width="13.77734375" customWidth="1"/>
    <col min="14" max="14" width="17.33203125" customWidth="1"/>
    <col min="15" max="15" width="23.21875" customWidth="1"/>
  </cols>
  <sheetData>
    <row r="1" spans="1:21" ht="14.4" customHeight="1" x14ac:dyDescent="0.3">
      <c r="A1" s="148" t="s">
        <v>172</v>
      </c>
      <c r="B1" s="148"/>
      <c r="C1" s="148"/>
      <c r="D1" s="148"/>
      <c r="E1" s="148"/>
      <c r="F1" s="148"/>
      <c r="G1" s="148"/>
      <c r="H1" s="148"/>
      <c r="I1" s="148"/>
      <c r="J1" s="148"/>
      <c r="K1" s="148"/>
      <c r="L1" s="148"/>
      <c r="M1" s="148"/>
      <c r="N1" s="148"/>
      <c r="O1" s="148"/>
      <c r="P1" s="148"/>
      <c r="Q1" s="148"/>
      <c r="R1" s="56"/>
      <c r="S1" s="56"/>
      <c r="T1" s="56"/>
      <c r="U1" s="56"/>
    </row>
    <row r="2" spans="1:21" x14ac:dyDescent="0.3">
      <c r="A2" s="148"/>
      <c r="B2" s="148"/>
      <c r="C2" s="148"/>
      <c r="D2" s="148"/>
      <c r="E2" s="148"/>
      <c r="F2" s="148"/>
      <c r="G2" s="148"/>
      <c r="H2" s="148"/>
      <c r="I2" s="148"/>
      <c r="J2" s="148"/>
      <c r="K2" s="148"/>
      <c r="L2" s="148"/>
      <c r="M2" s="148"/>
      <c r="N2" s="148"/>
      <c r="O2" s="148"/>
      <c r="P2" s="148"/>
      <c r="Q2" s="148"/>
      <c r="R2" s="56"/>
      <c r="S2" s="56"/>
      <c r="T2" s="56"/>
      <c r="U2" s="56"/>
    </row>
    <row r="3" spans="1:21" x14ac:dyDescent="0.3">
      <c r="A3" s="148"/>
      <c r="B3" s="148"/>
      <c r="C3" s="148"/>
      <c r="D3" s="148"/>
      <c r="E3" s="148"/>
      <c r="F3" s="148"/>
      <c r="G3" s="148"/>
      <c r="H3" s="148"/>
      <c r="I3" s="148"/>
      <c r="J3" s="148"/>
      <c r="K3" s="148"/>
      <c r="L3" s="148"/>
      <c r="M3" s="148"/>
      <c r="N3" s="148"/>
      <c r="O3" s="148"/>
      <c r="P3" s="148"/>
      <c r="Q3" s="148"/>
      <c r="R3" s="56"/>
      <c r="S3" s="56"/>
      <c r="T3" s="56"/>
      <c r="U3" s="56"/>
    </row>
    <row r="4" spans="1:21" x14ac:dyDescent="0.3">
      <c r="A4" s="148"/>
      <c r="B4" s="148"/>
      <c r="C4" s="148"/>
      <c r="D4" s="148"/>
      <c r="E4" s="148"/>
      <c r="F4" s="148"/>
      <c r="G4" s="148"/>
      <c r="H4" s="148"/>
      <c r="I4" s="148"/>
      <c r="J4" s="148"/>
      <c r="K4" s="148"/>
      <c r="L4" s="148"/>
      <c r="M4" s="148"/>
      <c r="N4" s="148"/>
      <c r="O4" s="148"/>
      <c r="P4" s="148"/>
      <c r="Q4" s="148"/>
      <c r="R4" s="56"/>
      <c r="S4" s="56"/>
      <c r="T4" s="56"/>
      <c r="U4" s="56"/>
    </row>
    <row r="5" spans="1:21" x14ac:dyDescent="0.3">
      <c r="A5" s="148"/>
      <c r="B5" s="148"/>
      <c r="C5" s="148"/>
      <c r="D5" s="148"/>
      <c r="E5" s="148"/>
      <c r="F5" s="148"/>
      <c r="G5" s="148"/>
      <c r="H5" s="148"/>
      <c r="I5" s="148"/>
      <c r="J5" s="148"/>
      <c r="K5" s="148"/>
      <c r="L5" s="148"/>
      <c r="M5" s="148"/>
      <c r="N5" s="148"/>
      <c r="O5" s="148"/>
      <c r="P5" s="148"/>
      <c r="Q5" s="148"/>
      <c r="R5" s="56"/>
      <c r="S5" s="56"/>
      <c r="T5" s="56"/>
      <c r="U5" s="56"/>
    </row>
    <row r="7" spans="1:21" x14ac:dyDescent="0.3">
      <c r="A7" s="1" t="s">
        <v>173</v>
      </c>
      <c r="B7" s="1" t="s">
        <v>174</v>
      </c>
      <c r="C7" s="1" t="s">
        <v>175</v>
      </c>
      <c r="D7" s="1" t="s">
        <v>176</v>
      </c>
    </row>
    <row r="8" spans="1:21" x14ac:dyDescent="0.3">
      <c r="A8" s="1" t="s">
        <v>177</v>
      </c>
      <c r="B8" s="1">
        <v>3</v>
      </c>
      <c r="C8" s="1">
        <v>2</v>
      </c>
      <c r="D8" s="55">
        <v>240</v>
      </c>
    </row>
    <row r="9" spans="1:21" x14ac:dyDescent="0.3">
      <c r="A9" s="1" t="s">
        <v>178</v>
      </c>
      <c r="B9" s="1">
        <v>5</v>
      </c>
      <c r="C9" s="1">
        <v>1.5</v>
      </c>
      <c r="D9" s="55">
        <v>225</v>
      </c>
    </row>
    <row r="10" spans="1:21" x14ac:dyDescent="0.3">
      <c r="A10" s="1" t="s">
        <v>179</v>
      </c>
      <c r="B10" s="1">
        <v>6</v>
      </c>
      <c r="C10" s="1">
        <v>3</v>
      </c>
      <c r="D10" s="55">
        <v>425</v>
      </c>
    </row>
    <row r="12" spans="1:21" x14ac:dyDescent="0.3">
      <c r="A12" t="s">
        <v>219</v>
      </c>
    </row>
    <row r="13" spans="1:21" x14ac:dyDescent="0.3">
      <c r="A13" t="s">
        <v>220</v>
      </c>
    </row>
    <row r="14" spans="1:21" x14ac:dyDescent="0.3">
      <c r="A14" t="s">
        <v>221</v>
      </c>
    </row>
    <row r="16" spans="1:21" x14ac:dyDescent="0.3">
      <c r="A16" t="s">
        <v>222</v>
      </c>
    </row>
    <row r="17" spans="1:15" x14ac:dyDescent="0.3">
      <c r="A17" t="s">
        <v>223</v>
      </c>
    </row>
    <row r="20" spans="1:15" x14ac:dyDescent="0.3">
      <c r="B20" t="s">
        <v>218</v>
      </c>
      <c r="C20" s="1" t="s">
        <v>177</v>
      </c>
      <c r="D20" s="1" t="s">
        <v>178</v>
      </c>
      <c r="E20" s="1" t="s">
        <v>179</v>
      </c>
      <c r="N20" s="57" t="s">
        <v>230</v>
      </c>
      <c r="O20" s="58" t="s">
        <v>231</v>
      </c>
    </row>
    <row r="21" spans="1:15" x14ac:dyDescent="0.3">
      <c r="B21" t="s">
        <v>224</v>
      </c>
      <c r="C21" s="3">
        <v>0</v>
      </c>
      <c r="D21" s="3">
        <v>80</v>
      </c>
      <c r="E21" s="3">
        <v>15</v>
      </c>
      <c r="N21" t="s">
        <v>228</v>
      </c>
      <c r="O21" t="s">
        <v>229</v>
      </c>
    </row>
    <row r="22" spans="1:15" x14ac:dyDescent="0.3">
      <c r="M22" s="1" t="s">
        <v>226</v>
      </c>
      <c r="N22" s="1">
        <v>24375</v>
      </c>
      <c r="O22" s="1">
        <v>19890</v>
      </c>
    </row>
    <row r="23" spans="1:15" x14ac:dyDescent="0.3">
      <c r="A23" t="s">
        <v>106</v>
      </c>
      <c r="B23" t="s">
        <v>6</v>
      </c>
      <c r="C23" s="55">
        <v>240</v>
      </c>
      <c r="D23" s="55">
        <v>225</v>
      </c>
      <c r="E23" s="55">
        <v>425</v>
      </c>
      <c r="F23" s="97">
        <f>SUMPRODUCT(C23:E23,C21:E21)</f>
        <v>24375</v>
      </c>
      <c r="G23" t="s">
        <v>225</v>
      </c>
      <c r="M23" s="1" t="s">
        <v>227</v>
      </c>
      <c r="N23" s="1">
        <v>4662.5</v>
      </c>
      <c r="O23" s="1">
        <v>6570</v>
      </c>
    </row>
    <row r="24" spans="1:15" x14ac:dyDescent="0.3">
      <c r="M24" s="1" t="s">
        <v>177</v>
      </c>
      <c r="N24" s="1">
        <v>0</v>
      </c>
      <c r="O24" s="1">
        <v>81</v>
      </c>
    </row>
    <row r="25" spans="1:15" x14ac:dyDescent="0.3">
      <c r="M25" s="1" t="s">
        <v>178</v>
      </c>
      <c r="N25" s="1">
        <v>80</v>
      </c>
      <c r="O25" s="1">
        <v>2</v>
      </c>
    </row>
    <row r="26" spans="1:15" x14ac:dyDescent="0.3">
      <c r="M26" s="1" t="s">
        <v>179</v>
      </c>
      <c r="N26" s="1">
        <v>15</v>
      </c>
      <c r="O26" s="1">
        <v>0</v>
      </c>
    </row>
    <row r="28" spans="1:15" x14ac:dyDescent="0.3">
      <c r="B28" s="1" t="s">
        <v>173</v>
      </c>
      <c r="C28" s="1" t="s">
        <v>177</v>
      </c>
      <c r="D28" s="1" t="s">
        <v>178</v>
      </c>
      <c r="E28" s="1" t="s">
        <v>179</v>
      </c>
      <c r="F28" s="1" t="s">
        <v>212</v>
      </c>
    </row>
    <row r="29" spans="1:15" x14ac:dyDescent="0.3">
      <c r="B29" s="1" t="s">
        <v>174</v>
      </c>
      <c r="C29" s="1">
        <v>3</v>
      </c>
      <c r="D29" s="1">
        <v>5</v>
      </c>
      <c r="E29" s="1">
        <v>6</v>
      </c>
      <c r="F29" s="72">
        <f>SUMPRODUCT(C29:E29,$C$21:$E$21)</f>
        <v>490</v>
      </c>
      <c r="G29">
        <f>70*7</f>
        <v>490</v>
      </c>
    </row>
    <row r="30" spans="1:15" x14ac:dyDescent="0.3">
      <c r="B30" s="1" t="s">
        <v>175</v>
      </c>
      <c r="C30" s="1">
        <v>2</v>
      </c>
      <c r="D30" s="1">
        <v>1.5</v>
      </c>
      <c r="E30" s="1">
        <v>3</v>
      </c>
      <c r="F30" s="72">
        <f>SUMPRODUCT(C30:E30,$C$21:$E$21)</f>
        <v>165</v>
      </c>
      <c r="G30">
        <v>165</v>
      </c>
    </row>
    <row r="32" spans="1:15" x14ac:dyDescent="0.3">
      <c r="A32" s="4" t="s">
        <v>103</v>
      </c>
      <c r="B32" s="23" t="s">
        <v>421</v>
      </c>
      <c r="C32" s="23"/>
      <c r="D32" s="23"/>
      <c r="E32" s="23"/>
      <c r="F32" s="23"/>
      <c r="G32" s="23"/>
      <c r="H32" s="23"/>
      <c r="I32" s="23"/>
      <c r="J32" s="23"/>
    </row>
  </sheetData>
  <mergeCells count="1">
    <mergeCell ref="A1:Q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529B-CBF9-4FF4-ABAD-D7B3455F3BAF}">
  <sheetPr>
    <tabColor theme="7" tint="0.59999389629810485"/>
  </sheetPr>
  <dimension ref="A1:O22"/>
  <sheetViews>
    <sheetView workbookViewId="0">
      <selection activeCell="C17" sqref="C17:D17"/>
    </sheetView>
  </sheetViews>
  <sheetFormatPr defaultRowHeight="14.4" x14ac:dyDescent="0.3"/>
  <cols>
    <col min="2" max="2" width="19.77734375" customWidth="1"/>
    <col min="5" max="5" width="15.33203125" customWidth="1"/>
    <col min="6" max="6" width="17.77734375" customWidth="1"/>
    <col min="10" max="10" width="21.77734375" customWidth="1"/>
  </cols>
  <sheetData>
    <row r="1" spans="1:15" x14ac:dyDescent="0.3">
      <c r="A1" t="s">
        <v>232</v>
      </c>
    </row>
    <row r="2" spans="1:15" x14ac:dyDescent="0.3">
      <c r="A2" t="s">
        <v>233</v>
      </c>
    </row>
    <row r="3" spans="1:15" x14ac:dyDescent="0.3">
      <c r="A3" t="s">
        <v>234</v>
      </c>
    </row>
    <row r="5" spans="1:15" x14ac:dyDescent="0.3">
      <c r="A5" t="s">
        <v>235</v>
      </c>
    </row>
    <row r="6" spans="1:15" x14ac:dyDescent="0.3">
      <c r="A6" t="s">
        <v>236</v>
      </c>
    </row>
    <row r="8" spans="1:15" x14ac:dyDescent="0.3">
      <c r="A8" t="s">
        <v>237</v>
      </c>
    </row>
    <row r="10" spans="1:15" x14ac:dyDescent="0.3">
      <c r="K10" s="1" t="s">
        <v>239</v>
      </c>
      <c r="L10" s="1" t="s">
        <v>238</v>
      </c>
      <c r="M10" s="1" t="s">
        <v>72</v>
      </c>
      <c r="N10" s="1" t="s">
        <v>245</v>
      </c>
      <c r="O10" s="1" t="s">
        <v>246</v>
      </c>
    </row>
    <row r="11" spans="1:15" x14ac:dyDescent="0.3">
      <c r="B11" t="s">
        <v>218</v>
      </c>
      <c r="C11" t="s">
        <v>239</v>
      </c>
      <c r="D11" t="s">
        <v>238</v>
      </c>
      <c r="J11" t="s">
        <v>242</v>
      </c>
      <c r="K11" s="1">
        <v>5713</v>
      </c>
      <c r="L11" s="1">
        <v>2858</v>
      </c>
      <c r="M11" s="1">
        <v>9999.7000000000007</v>
      </c>
      <c r="N11" s="1">
        <v>40</v>
      </c>
      <c r="O11" s="1">
        <v>39.997</v>
      </c>
    </row>
    <row r="12" spans="1:15" x14ac:dyDescent="0.3">
      <c r="B12" t="s">
        <v>208</v>
      </c>
      <c r="C12" s="3">
        <v>2500</v>
      </c>
      <c r="D12" s="3">
        <v>5000</v>
      </c>
      <c r="J12" t="s">
        <v>243</v>
      </c>
      <c r="K12" s="1">
        <v>8000</v>
      </c>
      <c r="L12" s="1">
        <v>0</v>
      </c>
      <c r="M12" s="1">
        <v>8800</v>
      </c>
      <c r="N12" s="1">
        <v>32</v>
      </c>
      <c r="O12" s="1">
        <v>40</v>
      </c>
    </row>
    <row r="13" spans="1:15" x14ac:dyDescent="0.3">
      <c r="J13" s="23" t="s">
        <v>244</v>
      </c>
      <c r="K13" s="66">
        <v>2500</v>
      </c>
      <c r="L13" s="66">
        <v>5000</v>
      </c>
      <c r="M13" s="66">
        <v>9250</v>
      </c>
      <c r="N13" s="66">
        <v>40</v>
      </c>
      <c r="O13" s="66">
        <v>32.5</v>
      </c>
    </row>
    <row r="14" spans="1:15" x14ac:dyDescent="0.3">
      <c r="A14" t="s">
        <v>2</v>
      </c>
      <c r="B14" t="s">
        <v>117</v>
      </c>
      <c r="C14">
        <v>1.1000000000000001</v>
      </c>
      <c r="D14">
        <v>1.3</v>
      </c>
      <c r="E14" s="100">
        <f>SUMPRODUCT(C14:D14,C12:D12)</f>
        <v>9250</v>
      </c>
      <c r="F14" s="24" t="s">
        <v>72</v>
      </c>
    </row>
    <row r="15" spans="1:15" x14ac:dyDescent="0.3">
      <c r="E15" s="127"/>
    </row>
    <row r="16" spans="1:15" x14ac:dyDescent="0.3">
      <c r="F16" t="s">
        <v>422</v>
      </c>
    </row>
    <row r="17" spans="1:10" x14ac:dyDescent="0.3">
      <c r="A17" t="s">
        <v>46</v>
      </c>
      <c r="B17" t="s">
        <v>240</v>
      </c>
      <c r="C17">
        <f>4/1000</f>
        <v>4.0000000000000001E-3</v>
      </c>
      <c r="D17">
        <f>6/1000</f>
        <v>6.0000000000000001E-3</v>
      </c>
      <c r="E17" s="1">
        <f>SUMPRODUCT(C17:D17,$C$12:$D$12)</f>
        <v>40</v>
      </c>
      <c r="F17">
        <v>40</v>
      </c>
    </row>
    <row r="18" spans="1:10" x14ac:dyDescent="0.3">
      <c r="B18" t="s">
        <v>241</v>
      </c>
      <c r="C18">
        <f>5/1000</f>
        <v>5.0000000000000001E-3</v>
      </c>
      <c r="D18">
        <f>4/1000</f>
        <v>4.0000000000000001E-3</v>
      </c>
      <c r="E18" s="1">
        <f>SUMPRODUCT(C18:D18,$C$12:$D$12)</f>
        <v>32.5</v>
      </c>
      <c r="F18">
        <v>40</v>
      </c>
    </row>
    <row r="20" spans="1:10" x14ac:dyDescent="0.3">
      <c r="B20" t="s">
        <v>253</v>
      </c>
      <c r="C20" s="22" t="s">
        <v>254</v>
      </c>
      <c r="D20">
        <v>5000</v>
      </c>
    </row>
    <row r="22" spans="1:10" x14ac:dyDescent="0.3">
      <c r="A22" s="4" t="s">
        <v>3</v>
      </c>
      <c r="B22" s="23" t="s">
        <v>423</v>
      </c>
      <c r="C22" s="23"/>
      <c r="D22" s="23"/>
      <c r="E22" s="23"/>
      <c r="F22" s="23"/>
      <c r="G22" s="23"/>
      <c r="H22" s="23"/>
      <c r="I22" s="23"/>
      <c r="J22" s="2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869F-D82E-4B28-BDCA-7F786975A277}">
  <sheetPr>
    <tabColor theme="5" tint="0.59999389629810485"/>
  </sheetPr>
  <dimension ref="A1:R58"/>
  <sheetViews>
    <sheetView topLeftCell="A12" zoomScale="90" zoomScaleNormal="90" workbookViewId="0">
      <selection activeCell="N22" sqref="N22"/>
    </sheetView>
  </sheetViews>
  <sheetFormatPr defaultRowHeight="14.4" x14ac:dyDescent="0.3"/>
  <cols>
    <col min="1" max="1" width="12.6640625" customWidth="1"/>
    <col min="2" max="2" width="13.44140625" customWidth="1"/>
    <col min="3" max="3" width="16.44140625" customWidth="1"/>
    <col min="4" max="4" width="17.6640625" customWidth="1"/>
    <col min="5" max="5" width="13.5546875" customWidth="1"/>
    <col min="6" max="6" width="16" customWidth="1"/>
    <col min="7" max="7" width="16.77734375" customWidth="1"/>
    <col min="8" max="8" width="13.77734375" customWidth="1"/>
    <col min="9" max="9" width="14.88671875" customWidth="1"/>
    <col min="11" max="11" width="13.5546875" customWidth="1"/>
    <col min="12" max="12" width="14.44140625" customWidth="1"/>
    <col min="13" max="13" width="12.6640625" customWidth="1"/>
    <col min="14" max="14" width="14" customWidth="1"/>
  </cols>
  <sheetData>
    <row r="1" spans="1:15" x14ac:dyDescent="0.3">
      <c r="A1" t="s">
        <v>180</v>
      </c>
    </row>
    <row r="3" spans="1:15" x14ac:dyDescent="0.3">
      <c r="A3" t="s">
        <v>181</v>
      </c>
    </row>
    <row r="5" spans="1:15" x14ac:dyDescent="0.3">
      <c r="B5" t="s">
        <v>182</v>
      </c>
      <c r="C5" t="s">
        <v>183</v>
      </c>
    </row>
    <row r="6" spans="1:15" x14ac:dyDescent="0.3">
      <c r="A6" s="1" t="s">
        <v>184</v>
      </c>
      <c r="B6" s="1">
        <v>0.25</v>
      </c>
      <c r="C6" s="1">
        <v>0.1</v>
      </c>
    </row>
    <row r="7" spans="1:15" x14ac:dyDescent="0.3">
      <c r="A7" s="1" t="s">
        <v>185</v>
      </c>
      <c r="B7" s="1">
        <v>0.15</v>
      </c>
      <c r="C7" s="1">
        <v>0.3</v>
      </c>
    </row>
    <row r="9" spans="1:15" x14ac:dyDescent="0.3">
      <c r="A9" t="s">
        <v>186</v>
      </c>
    </row>
    <row r="11" spans="1:15" x14ac:dyDescent="0.3">
      <c r="A11" t="s">
        <v>187</v>
      </c>
    </row>
    <row r="13" spans="1:15" x14ac:dyDescent="0.3">
      <c r="A13" t="s">
        <v>188</v>
      </c>
    </row>
    <row r="14" spans="1:15" x14ac:dyDescent="0.3">
      <c r="A14" s="1"/>
      <c r="B14" s="1" t="s">
        <v>189</v>
      </c>
      <c r="C14" s="1" t="s">
        <v>190</v>
      </c>
      <c r="D14" s="1" t="s">
        <v>191</v>
      </c>
      <c r="E14" s="1" t="s">
        <v>192</v>
      </c>
      <c r="F14" s="1" t="s">
        <v>193</v>
      </c>
      <c r="K14" s="1"/>
      <c r="L14" s="1" t="s">
        <v>189</v>
      </c>
      <c r="M14" s="1" t="s">
        <v>190</v>
      </c>
      <c r="N14" s="1" t="s">
        <v>191</v>
      </c>
      <c r="O14" s="1" t="s">
        <v>192</v>
      </c>
    </row>
    <row r="15" spans="1:15" x14ac:dyDescent="0.3">
      <c r="A15" s="1" t="s">
        <v>194</v>
      </c>
      <c r="B15" s="1">
        <v>10</v>
      </c>
      <c r="C15" s="1">
        <v>10</v>
      </c>
      <c r="D15" s="1">
        <v>2</v>
      </c>
      <c r="E15" s="1">
        <v>1</v>
      </c>
      <c r="F15" s="1">
        <v>700</v>
      </c>
      <c r="K15" s="1" t="s">
        <v>194</v>
      </c>
      <c r="L15" s="1">
        <v>0.1</v>
      </c>
      <c r="M15" s="1">
        <v>0.1</v>
      </c>
      <c r="N15" s="1">
        <v>0.02</v>
      </c>
      <c r="O15" s="1">
        <v>1</v>
      </c>
    </row>
    <row r="16" spans="1:15" x14ac:dyDescent="0.3">
      <c r="A16" s="1" t="s">
        <v>195</v>
      </c>
      <c r="B16" s="1">
        <v>0</v>
      </c>
      <c r="C16" s="1">
        <v>0</v>
      </c>
      <c r="D16" s="1">
        <v>3</v>
      </c>
      <c r="E16" s="1">
        <v>100</v>
      </c>
      <c r="F16" s="1">
        <v>100</v>
      </c>
      <c r="K16" s="1" t="s">
        <v>195</v>
      </c>
      <c r="L16" s="1">
        <v>0</v>
      </c>
      <c r="M16" s="1">
        <v>0</v>
      </c>
      <c r="N16" s="1">
        <v>0.03</v>
      </c>
      <c r="O16" s="1">
        <v>1</v>
      </c>
    </row>
    <row r="17" spans="1:16" x14ac:dyDescent="0.3">
      <c r="A17" s="1" t="s">
        <v>196</v>
      </c>
      <c r="B17" s="1">
        <v>3</v>
      </c>
      <c r="C17" s="1">
        <v>30</v>
      </c>
      <c r="D17" s="1">
        <v>0</v>
      </c>
      <c r="E17" s="1">
        <v>0</v>
      </c>
      <c r="F17" s="1">
        <v>200</v>
      </c>
      <c r="K17" s="1" t="s">
        <v>196</v>
      </c>
      <c r="L17" s="1">
        <v>0.03</v>
      </c>
      <c r="M17" s="1">
        <v>0.3</v>
      </c>
      <c r="N17" s="1">
        <v>0</v>
      </c>
      <c r="O17" s="1">
        <v>0</v>
      </c>
    </row>
    <row r="18" spans="1:16" x14ac:dyDescent="0.3">
      <c r="A18" s="1" t="s">
        <v>197</v>
      </c>
      <c r="B18" s="1">
        <v>12</v>
      </c>
      <c r="C18" s="1">
        <v>10</v>
      </c>
      <c r="D18" s="1">
        <v>1</v>
      </c>
      <c r="E18" s="1">
        <v>0</v>
      </c>
      <c r="F18" s="1">
        <v>600</v>
      </c>
      <c r="K18" s="1" t="s">
        <v>197</v>
      </c>
      <c r="L18" s="1">
        <v>0.12</v>
      </c>
      <c r="M18" s="1">
        <v>0.1</v>
      </c>
      <c r="N18" s="1">
        <v>0.01</v>
      </c>
      <c r="O18" s="1">
        <v>0</v>
      </c>
    </row>
    <row r="19" spans="1:16" x14ac:dyDescent="0.3">
      <c r="A19" s="1" t="s">
        <v>198</v>
      </c>
      <c r="B19" s="1">
        <v>20</v>
      </c>
      <c r="C19" s="1">
        <v>8</v>
      </c>
      <c r="D19" s="1">
        <v>2</v>
      </c>
      <c r="E19" s="1">
        <v>2</v>
      </c>
      <c r="F19" s="1">
        <v>900</v>
      </c>
      <c r="K19" s="1" t="s">
        <v>198</v>
      </c>
      <c r="L19" s="1">
        <v>0.2</v>
      </c>
      <c r="M19" s="1">
        <v>0.08</v>
      </c>
      <c r="N19" s="1">
        <v>0.02</v>
      </c>
      <c r="O19" s="1">
        <v>0.02</v>
      </c>
    </row>
    <row r="22" spans="1:16" x14ac:dyDescent="0.3">
      <c r="A22" t="s">
        <v>199</v>
      </c>
    </row>
    <row r="24" spans="1:16" x14ac:dyDescent="0.3">
      <c r="A24" t="s">
        <v>200</v>
      </c>
    </row>
    <row r="25" spans="1:16" x14ac:dyDescent="0.3">
      <c r="A25" s="1"/>
      <c r="B25" s="1" t="s">
        <v>189</v>
      </c>
      <c r="C25" s="1" t="s">
        <v>190</v>
      </c>
      <c r="D25" s="1" t="s">
        <v>191</v>
      </c>
      <c r="E25" s="1" t="s">
        <v>201</v>
      </c>
      <c r="F25" s="1" t="s">
        <v>194</v>
      </c>
      <c r="K25" s="1"/>
      <c r="L25" s="1" t="s">
        <v>189</v>
      </c>
      <c r="M25" s="1" t="s">
        <v>190</v>
      </c>
      <c r="N25" s="1" t="s">
        <v>191</v>
      </c>
      <c r="O25" s="1" t="s">
        <v>201</v>
      </c>
      <c r="P25" s="1" t="s">
        <v>194</v>
      </c>
    </row>
    <row r="26" spans="1:16" x14ac:dyDescent="0.3">
      <c r="A26" s="1" t="s">
        <v>202</v>
      </c>
      <c r="B26" s="1">
        <v>5</v>
      </c>
      <c r="C26" s="1">
        <v>18</v>
      </c>
      <c r="D26" s="1">
        <v>1</v>
      </c>
      <c r="E26" s="1">
        <v>2</v>
      </c>
      <c r="F26" s="1">
        <v>10</v>
      </c>
      <c r="K26" s="1" t="s">
        <v>202</v>
      </c>
      <c r="L26" s="1">
        <v>0.05</v>
      </c>
      <c r="M26" s="1">
        <v>0.18</v>
      </c>
      <c r="N26" s="1">
        <v>0.01</v>
      </c>
      <c r="O26" s="1">
        <v>0.02</v>
      </c>
      <c r="P26" s="1">
        <v>0.1</v>
      </c>
    </row>
    <row r="27" spans="1:16" x14ac:dyDescent="0.3">
      <c r="A27" s="1" t="s">
        <v>185</v>
      </c>
      <c r="B27" s="1">
        <v>11</v>
      </c>
      <c r="C27" s="1">
        <v>15</v>
      </c>
      <c r="D27" s="1">
        <v>1</v>
      </c>
      <c r="E27" s="1">
        <v>0</v>
      </c>
      <c r="F27" s="1">
        <v>0</v>
      </c>
      <c r="K27" s="1" t="s">
        <v>185</v>
      </c>
      <c r="L27" s="1">
        <v>0.11</v>
      </c>
      <c r="M27" s="1">
        <v>0.15</v>
      </c>
      <c r="N27" s="1">
        <v>0.01</v>
      </c>
      <c r="O27" s="1">
        <v>0</v>
      </c>
      <c r="P27" s="1">
        <v>0</v>
      </c>
    </row>
    <row r="29" spans="1:16" x14ac:dyDescent="0.3">
      <c r="A29" t="s">
        <v>203</v>
      </c>
    </row>
    <row r="30" spans="1:16" x14ac:dyDescent="0.3">
      <c r="A30" t="s">
        <v>204</v>
      </c>
    </row>
    <row r="31" spans="1:16" x14ac:dyDescent="0.3">
      <c r="C31" s="149" t="s">
        <v>313</v>
      </c>
      <c r="D31" s="149"/>
      <c r="E31" s="149"/>
      <c r="F31" s="150" t="s">
        <v>314</v>
      </c>
      <c r="G31" s="150"/>
      <c r="H31" s="150"/>
    </row>
    <row r="32" spans="1:16" x14ac:dyDescent="0.3">
      <c r="B32" t="s">
        <v>218</v>
      </c>
      <c r="C32" t="s">
        <v>255</v>
      </c>
      <c r="D32" t="s">
        <v>195</v>
      </c>
      <c r="E32" t="s">
        <v>196</v>
      </c>
      <c r="F32" t="s">
        <v>256</v>
      </c>
      <c r="G32" t="s">
        <v>198</v>
      </c>
      <c r="H32" t="s">
        <v>196</v>
      </c>
      <c r="K32" t="s">
        <v>258</v>
      </c>
      <c r="L32" t="s">
        <v>259</v>
      </c>
    </row>
    <row r="33" spans="1:18" x14ac:dyDescent="0.3">
      <c r="B33" t="s">
        <v>208</v>
      </c>
      <c r="C33" s="3">
        <v>6.6666666666666661</v>
      </c>
      <c r="D33" s="3">
        <v>2.2222222222222161</v>
      </c>
      <c r="E33" s="3">
        <v>11.111111111111118</v>
      </c>
      <c r="F33" s="3">
        <v>0</v>
      </c>
      <c r="G33" s="3">
        <v>9.9999999999999964</v>
      </c>
      <c r="H33" s="3">
        <v>9.9999999999999964</v>
      </c>
      <c r="I33" t="s">
        <v>318</v>
      </c>
      <c r="K33" s="3">
        <f>SUM(C33:E33)</f>
        <v>20</v>
      </c>
      <c r="L33" s="3">
        <f>SUM(F33:H33)</f>
        <v>19.999999999999993</v>
      </c>
      <c r="M33" t="s">
        <v>318</v>
      </c>
    </row>
    <row r="34" spans="1:18" x14ac:dyDescent="0.3">
      <c r="A34" t="s">
        <v>439</v>
      </c>
      <c r="B34" s="24" t="s">
        <v>425</v>
      </c>
      <c r="C34" s="128">
        <f>C33/$L$33</f>
        <v>0.33333333333333343</v>
      </c>
      <c r="D34" s="128">
        <f t="shared" ref="D34:E34" si="0">D33/$L$33</f>
        <v>0.11111111111111084</v>
      </c>
      <c r="E34" s="128">
        <f t="shared" si="0"/>
        <v>0.55555555555555614</v>
      </c>
      <c r="F34" s="24">
        <f>F33/$K$33</f>
        <v>0</v>
      </c>
      <c r="G34" s="129">
        <f t="shared" ref="G34:H34" si="1">G33/$K$33</f>
        <v>0.49999999999999983</v>
      </c>
      <c r="H34" s="129">
        <f t="shared" si="1"/>
        <v>0.49999999999999983</v>
      </c>
      <c r="I34" s="24"/>
    </row>
    <row r="36" spans="1:18" x14ac:dyDescent="0.3">
      <c r="A36" t="s">
        <v>2</v>
      </c>
      <c r="B36" t="s">
        <v>117</v>
      </c>
      <c r="C36">
        <v>750</v>
      </c>
      <c r="D36">
        <v>980</v>
      </c>
      <c r="E36" s="68">
        <f>SUMPRODUCT(C36:D36,K33:L33)</f>
        <v>34599.999999999993</v>
      </c>
      <c r="K36" s="24" t="s">
        <v>315</v>
      </c>
      <c r="L36" s="97">
        <f>E36-I37</f>
        <v>16488.888888888887</v>
      </c>
    </row>
    <row r="37" spans="1:18" x14ac:dyDescent="0.3">
      <c r="B37" t="s">
        <v>16</v>
      </c>
      <c r="C37" s="1">
        <v>700</v>
      </c>
      <c r="D37" s="1">
        <v>100</v>
      </c>
      <c r="E37" s="1">
        <v>200</v>
      </c>
      <c r="F37" s="1">
        <v>600</v>
      </c>
      <c r="G37" s="1">
        <v>900</v>
      </c>
      <c r="H37" s="1">
        <v>200</v>
      </c>
      <c r="I37" s="32">
        <f>SUMPRODUCT(C33:H33,C37:H37)</f>
        <v>18111.111111111106</v>
      </c>
    </row>
    <row r="39" spans="1:18" x14ac:dyDescent="0.3">
      <c r="A39" t="s">
        <v>46</v>
      </c>
      <c r="C39" s="4" t="s">
        <v>185</v>
      </c>
      <c r="D39" s="4" t="s">
        <v>184</v>
      </c>
    </row>
    <row r="40" spans="1:18" x14ac:dyDescent="0.3">
      <c r="B40" t="s">
        <v>182</v>
      </c>
      <c r="C40">
        <v>0.15</v>
      </c>
      <c r="D40">
        <v>0.25</v>
      </c>
      <c r="E40" s="1">
        <f>SUMPRODUCT(C40:D40,$K$33:$L$33)</f>
        <v>7.9999999999999982</v>
      </c>
      <c r="F40">
        <v>8</v>
      </c>
    </row>
    <row r="41" spans="1:18" x14ac:dyDescent="0.3">
      <c r="B41" t="s">
        <v>183</v>
      </c>
      <c r="C41">
        <v>0.3</v>
      </c>
      <c r="D41">
        <v>0.1</v>
      </c>
      <c r="E41" s="1">
        <f>SUMPRODUCT(C41:D41,$K$33:$L$33)</f>
        <v>7.9999999999999991</v>
      </c>
      <c r="F41">
        <v>8</v>
      </c>
    </row>
    <row r="43" spans="1:18" x14ac:dyDescent="0.3">
      <c r="K43" s="4" t="s">
        <v>3</v>
      </c>
      <c r="L43" s="145" t="s">
        <v>424</v>
      </c>
      <c r="M43" s="145"/>
      <c r="N43" s="145"/>
      <c r="O43" s="145"/>
      <c r="P43" s="145"/>
      <c r="Q43" s="145"/>
      <c r="R43" s="145"/>
    </row>
    <row r="44" spans="1:18" x14ac:dyDescent="0.3">
      <c r="B44" s="1"/>
      <c r="C44" s="51" t="s">
        <v>194</v>
      </c>
      <c r="D44" s="51" t="s">
        <v>195</v>
      </c>
      <c r="E44" s="51" t="s">
        <v>196</v>
      </c>
      <c r="F44" s="65" t="s">
        <v>197</v>
      </c>
      <c r="G44" s="65" t="s">
        <v>198</v>
      </c>
      <c r="H44" s="65" t="s">
        <v>196</v>
      </c>
      <c r="L44" s="145"/>
      <c r="M44" s="145"/>
      <c r="N44" s="145"/>
      <c r="O44" s="145"/>
      <c r="P44" s="145"/>
      <c r="Q44" s="145"/>
      <c r="R44" s="145"/>
    </row>
    <row r="45" spans="1:18" x14ac:dyDescent="0.3">
      <c r="B45" s="1" t="s">
        <v>189</v>
      </c>
      <c r="C45" s="51">
        <v>0.1</v>
      </c>
      <c r="D45" s="51">
        <v>0</v>
      </c>
      <c r="E45" s="51">
        <v>0.03</v>
      </c>
      <c r="F45" s="65">
        <v>0.12</v>
      </c>
      <c r="G45" s="65">
        <v>0.2</v>
      </c>
      <c r="H45" s="65">
        <v>0.03</v>
      </c>
      <c r="L45" s="145"/>
      <c r="M45" s="145"/>
      <c r="N45" s="145"/>
      <c r="O45" s="145"/>
      <c r="P45" s="145"/>
      <c r="Q45" s="145"/>
      <c r="R45" s="145"/>
    </row>
    <row r="46" spans="1:18" x14ac:dyDescent="0.3">
      <c r="B46" s="1" t="s">
        <v>190</v>
      </c>
      <c r="C46" s="51">
        <v>0.1</v>
      </c>
      <c r="D46" s="51">
        <v>0</v>
      </c>
      <c r="E46" s="51">
        <v>0.3</v>
      </c>
      <c r="F46" s="65">
        <v>0.1</v>
      </c>
      <c r="G46" s="65">
        <v>0.08</v>
      </c>
      <c r="H46" s="65">
        <v>0.3</v>
      </c>
      <c r="L46" s="145"/>
      <c r="M46" s="145"/>
      <c r="N46" s="145"/>
      <c r="O46" s="145"/>
      <c r="P46" s="145"/>
      <c r="Q46" s="145"/>
      <c r="R46" s="145"/>
    </row>
    <row r="47" spans="1:18" x14ac:dyDescent="0.3">
      <c r="B47" s="1" t="s">
        <v>191</v>
      </c>
      <c r="C47" s="51">
        <v>0.02</v>
      </c>
      <c r="D47" s="51">
        <v>0.03</v>
      </c>
      <c r="E47" s="51">
        <v>0</v>
      </c>
      <c r="F47" s="65">
        <v>0.01</v>
      </c>
      <c r="G47" s="65">
        <v>0.02</v>
      </c>
      <c r="H47" s="65">
        <v>0</v>
      </c>
    </row>
    <row r="48" spans="1:18" x14ac:dyDescent="0.3">
      <c r="B48" s="1" t="s">
        <v>192</v>
      </c>
      <c r="C48" s="51">
        <v>0.01</v>
      </c>
      <c r="D48" s="51">
        <v>1</v>
      </c>
      <c r="E48" s="51">
        <v>0</v>
      </c>
      <c r="F48" s="65">
        <v>0</v>
      </c>
      <c r="G48" s="65">
        <v>0.02</v>
      </c>
      <c r="H48" s="65">
        <v>0</v>
      </c>
    </row>
    <row r="50" spans="1:7" x14ac:dyDescent="0.3">
      <c r="C50" s="1" t="s">
        <v>342</v>
      </c>
      <c r="D50" s="1" t="s">
        <v>343</v>
      </c>
      <c r="F50" s="1" t="s">
        <v>342</v>
      </c>
      <c r="G50" s="1" t="s">
        <v>343</v>
      </c>
    </row>
    <row r="51" spans="1:7" x14ac:dyDescent="0.3">
      <c r="B51" s="1" t="s">
        <v>189</v>
      </c>
      <c r="C51" s="51">
        <f>0.05*L33</f>
        <v>0.99999999999999967</v>
      </c>
      <c r="D51" s="51">
        <f>SUMPRODUCT(C45:E45,$C$33:$E$33)</f>
        <v>1.0000000000000002</v>
      </c>
      <c r="F51" s="65">
        <f>0.11*K33</f>
        <v>2.2000000000000002</v>
      </c>
      <c r="G51" s="65">
        <f>SUMPRODUCT(F45:H45,$F$33:$H$33)</f>
        <v>2.2999999999999994</v>
      </c>
    </row>
    <row r="52" spans="1:7" x14ac:dyDescent="0.3">
      <c r="B52" s="1" t="s">
        <v>190</v>
      </c>
      <c r="C52" s="51">
        <f>0.18*L33</f>
        <v>3.5999999999999988</v>
      </c>
      <c r="D52" s="51">
        <f t="shared" ref="D52:D54" si="2">SUMPRODUCT(C46:E46,$C$33:$E$33)</f>
        <v>4.0000000000000018</v>
      </c>
      <c r="F52" s="65">
        <f>0.15*K33</f>
        <v>3</v>
      </c>
      <c r="G52" s="65">
        <f>SUMPRODUCT(F46:H46,$F$33:$H$33)</f>
        <v>3.7999999999999985</v>
      </c>
    </row>
    <row r="53" spans="1:7" x14ac:dyDescent="0.3">
      <c r="B53" s="1" t="s">
        <v>191</v>
      </c>
      <c r="C53" s="51">
        <f>0.01*L33</f>
        <v>0.19999999999999993</v>
      </c>
      <c r="D53" s="51">
        <f t="shared" si="2"/>
        <v>0.19999999999999982</v>
      </c>
      <c r="F53" s="65">
        <f>0.01*K33</f>
        <v>0.2</v>
      </c>
      <c r="G53" s="65">
        <f>SUMPRODUCT(F47:H47,$F$33:$H$33)</f>
        <v>0.19999999999999993</v>
      </c>
    </row>
    <row r="54" spans="1:7" x14ac:dyDescent="0.3">
      <c r="B54" s="1" t="s">
        <v>201</v>
      </c>
      <c r="C54" s="51">
        <f>0.02*L33</f>
        <v>0.39999999999999986</v>
      </c>
      <c r="D54" s="51">
        <f t="shared" si="2"/>
        <v>2.288888888888883</v>
      </c>
      <c r="F54" s="65">
        <f>0*K33</f>
        <v>0</v>
      </c>
      <c r="G54" s="65">
        <f>SUMPRODUCT(F48:H48,$F$33:$H$33)</f>
        <v>0.19999999999999993</v>
      </c>
    </row>
    <row r="55" spans="1:7" x14ac:dyDescent="0.3">
      <c r="B55" s="1" t="s">
        <v>194</v>
      </c>
      <c r="C55" s="51">
        <f>0.1*L33</f>
        <v>1.9999999999999993</v>
      </c>
      <c r="D55" s="51">
        <f>C33</f>
        <v>6.6666666666666661</v>
      </c>
      <c r="F55" s="65">
        <v>0</v>
      </c>
      <c r="G55" s="65"/>
    </row>
    <row r="58" spans="1:7" x14ac:dyDescent="0.3">
      <c r="A58" s="4"/>
    </row>
  </sheetData>
  <mergeCells count="3">
    <mergeCell ref="C31:E31"/>
    <mergeCell ref="F31:H31"/>
    <mergeCell ref="L43:R4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1531-EDDA-47C1-81FF-55656D18659B}">
  <sheetPr>
    <tabColor rgb="FFE2C6B4"/>
  </sheetPr>
  <dimension ref="B1:T80"/>
  <sheetViews>
    <sheetView topLeftCell="B35" workbookViewId="0">
      <selection activeCell="R52" sqref="R52"/>
    </sheetView>
  </sheetViews>
  <sheetFormatPr defaultRowHeight="14.4" x14ac:dyDescent="0.3"/>
  <cols>
    <col min="2" max="2" width="12.109375" customWidth="1"/>
    <col min="3" max="3" width="12.5546875" customWidth="1"/>
    <col min="4" max="4" width="13.77734375" customWidth="1"/>
    <col min="5" max="5" width="10.44140625" customWidth="1"/>
    <col min="11" max="11" width="13.88671875" customWidth="1"/>
    <col min="12" max="12" width="12.44140625" bestFit="1" customWidth="1"/>
  </cols>
  <sheetData>
    <row r="1" spans="2:8" x14ac:dyDescent="0.3">
      <c r="B1" t="s">
        <v>260</v>
      </c>
    </row>
    <row r="2" spans="2:8" x14ac:dyDescent="0.3">
      <c r="B2" t="s">
        <v>261</v>
      </c>
    </row>
    <row r="3" spans="2:8" x14ac:dyDescent="0.3">
      <c r="B3" t="s">
        <v>262</v>
      </c>
    </row>
    <row r="5" spans="2:8" x14ac:dyDescent="0.3">
      <c r="B5" t="s">
        <v>263</v>
      </c>
    </row>
    <row r="6" spans="2:8" x14ac:dyDescent="0.3">
      <c r="B6" t="s">
        <v>264</v>
      </c>
    </row>
    <row r="8" spans="2:8" x14ac:dyDescent="0.3">
      <c r="B8" t="s">
        <v>265</v>
      </c>
    </row>
    <row r="9" spans="2:8" x14ac:dyDescent="0.3">
      <c r="B9" s="1" t="s">
        <v>266</v>
      </c>
      <c r="C9" s="1" t="s">
        <v>133</v>
      </c>
      <c r="D9" s="1" t="s">
        <v>267</v>
      </c>
      <c r="E9" s="1" t="s">
        <v>132</v>
      </c>
      <c r="F9" s="1" t="s">
        <v>268</v>
      </c>
      <c r="G9" s="62" t="s">
        <v>269</v>
      </c>
    </row>
    <row r="10" spans="2:8" x14ac:dyDescent="0.3">
      <c r="B10" s="1">
        <v>25</v>
      </c>
      <c r="C10" s="1">
        <v>60</v>
      </c>
      <c r="D10" s="1">
        <v>35</v>
      </c>
      <c r="E10" s="1">
        <v>35</v>
      </c>
      <c r="F10" s="1">
        <v>30</v>
      </c>
      <c r="G10" s="64">
        <v>35</v>
      </c>
    </row>
    <row r="12" spans="2:8" x14ac:dyDescent="0.3">
      <c r="B12" t="s">
        <v>270</v>
      </c>
    </row>
    <row r="14" spans="2:8" x14ac:dyDescent="0.3">
      <c r="C14" t="s">
        <v>279</v>
      </c>
    </row>
    <row r="15" spans="2:8" x14ac:dyDescent="0.3">
      <c r="B15" s="1" t="s">
        <v>271</v>
      </c>
      <c r="C15" s="1" t="s">
        <v>266</v>
      </c>
      <c r="D15" s="1" t="s">
        <v>133</v>
      </c>
      <c r="E15" s="1" t="s">
        <v>267</v>
      </c>
      <c r="F15" s="1" t="s">
        <v>132</v>
      </c>
      <c r="G15" s="62" t="s">
        <v>268</v>
      </c>
      <c r="H15" s="62" t="s">
        <v>269</v>
      </c>
    </row>
    <row r="16" spans="2:8" x14ac:dyDescent="0.3">
      <c r="B16" s="1" t="s">
        <v>272</v>
      </c>
      <c r="C16" s="1">
        <v>4</v>
      </c>
      <c r="D16" s="1">
        <v>2</v>
      </c>
      <c r="E16" s="1">
        <v>2</v>
      </c>
      <c r="F16" s="1">
        <v>2</v>
      </c>
      <c r="G16" s="64">
        <v>3</v>
      </c>
      <c r="H16" s="64">
        <v>3</v>
      </c>
    </row>
    <row r="17" spans="2:8" x14ac:dyDescent="0.3">
      <c r="B17" s="1" t="s">
        <v>273</v>
      </c>
      <c r="C17" s="1">
        <v>6</v>
      </c>
      <c r="D17" s="1">
        <v>4</v>
      </c>
      <c r="E17" s="1">
        <v>3</v>
      </c>
      <c r="F17" s="1">
        <v>4</v>
      </c>
      <c r="G17" s="64">
        <v>2</v>
      </c>
      <c r="H17" s="64">
        <v>2</v>
      </c>
    </row>
    <row r="18" spans="2:8" x14ac:dyDescent="0.3">
      <c r="B18" s="1" t="s">
        <v>274</v>
      </c>
      <c r="C18" s="1">
        <v>3</v>
      </c>
      <c r="D18" s="1">
        <v>2</v>
      </c>
      <c r="E18" s="1">
        <v>3</v>
      </c>
      <c r="F18" s="1">
        <v>2</v>
      </c>
      <c r="G18" s="64">
        <v>5</v>
      </c>
      <c r="H18" s="64">
        <v>4</v>
      </c>
    </row>
    <row r="19" spans="2:8" x14ac:dyDescent="0.3">
      <c r="B19" s="1" t="s">
        <v>275</v>
      </c>
      <c r="C19" s="1">
        <v>6</v>
      </c>
      <c r="D19" s="1">
        <v>4</v>
      </c>
      <c r="E19" s="1">
        <v>2</v>
      </c>
      <c r="F19" s="1">
        <v>5</v>
      </c>
      <c r="G19" s="64">
        <v>2</v>
      </c>
      <c r="H19" s="64">
        <v>3</v>
      </c>
    </row>
    <row r="20" spans="2:8" x14ac:dyDescent="0.3">
      <c r="B20" s="1" t="s">
        <v>276</v>
      </c>
      <c r="C20" s="1">
        <v>2</v>
      </c>
      <c r="D20" s="1">
        <v>3</v>
      </c>
      <c r="E20" s="1">
        <v>5</v>
      </c>
      <c r="F20" s="1">
        <v>4</v>
      </c>
      <c r="G20" s="64">
        <v>6</v>
      </c>
      <c r="H20" s="64">
        <v>7</v>
      </c>
    </row>
    <row r="21" spans="2:8" x14ac:dyDescent="0.3">
      <c r="B21" s="1" t="s">
        <v>277</v>
      </c>
      <c r="C21" s="1">
        <v>7</v>
      </c>
      <c r="D21" s="1">
        <v>4</v>
      </c>
      <c r="E21" s="1">
        <v>3</v>
      </c>
      <c r="F21" s="1">
        <v>2</v>
      </c>
      <c r="G21" s="64">
        <v>4</v>
      </c>
      <c r="H21" s="64">
        <v>2</v>
      </c>
    </row>
    <row r="22" spans="2:8" x14ac:dyDescent="0.3">
      <c r="B22" s="1" t="s">
        <v>278</v>
      </c>
      <c r="C22" s="1">
        <v>2</v>
      </c>
      <c r="D22" s="1">
        <v>3</v>
      </c>
      <c r="E22" s="1">
        <v>6</v>
      </c>
      <c r="F22" s="1">
        <v>2</v>
      </c>
      <c r="G22" s="64">
        <v>7</v>
      </c>
      <c r="H22" s="64">
        <v>6</v>
      </c>
    </row>
    <row r="24" spans="2:8" x14ac:dyDescent="0.3">
      <c r="B24" t="s">
        <v>280</v>
      </c>
    </row>
    <row r="26" spans="2:8" x14ac:dyDescent="0.3">
      <c r="C26" s="1" t="s">
        <v>271</v>
      </c>
      <c r="D26" s="1" t="s">
        <v>281</v>
      </c>
    </row>
    <row r="27" spans="2:8" x14ac:dyDescent="0.3">
      <c r="C27" s="1" t="s">
        <v>272</v>
      </c>
      <c r="D27" s="1">
        <v>45</v>
      </c>
    </row>
    <row r="28" spans="2:8" x14ac:dyDescent="0.3">
      <c r="C28" s="1" t="s">
        <v>273</v>
      </c>
      <c r="D28" s="1">
        <v>65</v>
      </c>
    </row>
    <row r="29" spans="2:8" x14ac:dyDescent="0.3">
      <c r="C29" s="1" t="s">
        <v>274</v>
      </c>
      <c r="D29" s="1">
        <v>50</v>
      </c>
    </row>
    <row r="30" spans="2:8" x14ac:dyDescent="0.3">
      <c r="C30" s="1" t="s">
        <v>275</v>
      </c>
      <c r="D30" s="1">
        <v>90</v>
      </c>
    </row>
    <row r="31" spans="2:8" x14ac:dyDescent="0.3">
      <c r="C31" s="1" t="s">
        <v>276</v>
      </c>
      <c r="D31" s="1">
        <v>70</v>
      </c>
    </row>
    <row r="32" spans="2:8" x14ac:dyDescent="0.3">
      <c r="C32" s="1" t="s">
        <v>277</v>
      </c>
      <c r="D32" s="1">
        <v>80</v>
      </c>
    </row>
    <row r="33" spans="2:20" x14ac:dyDescent="0.3">
      <c r="C33" s="1" t="s">
        <v>278</v>
      </c>
      <c r="D33" s="1">
        <v>60</v>
      </c>
    </row>
    <row r="35" spans="2:20" x14ac:dyDescent="0.3">
      <c r="B35" t="s">
        <v>285</v>
      </c>
    </row>
    <row r="36" spans="2:20" x14ac:dyDescent="0.3">
      <c r="B36" t="s">
        <v>286</v>
      </c>
    </row>
    <row r="38" spans="2:20" x14ac:dyDescent="0.3">
      <c r="B38" t="s">
        <v>282</v>
      </c>
    </row>
    <row r="39" spans="2:20" x14ac:dyDescent="0.3">
      <c r="B39" s="4" t="s">
        <v>103</v>
      </c>
      <c r="C39" s="23" t="s">
        <v>428</v>
      </c>
      <c r="D39" s="23"/>
      <c r="E39" s="23"/>
      <c r="F39" s="23"/>
      <c r="G39" s="23"/>
      <c r="H39" s="23"/>
      <c r="I39" s="23"/>
      <c r="J39" s="23"/>
      <c r="K39" s="23"/>
      <c r="L39" s="23"/>
      <c r="M39" s="23"/>
    </row>
    <row r="40" spans="2:20" x14ac:dyDescent="0.3">
      <c r="B40" s="4"/>
    </row>
    <row r="41" spans="2:20" x14ac:dyDescent="0.3">
      <c r="B41" t="s">
        <v>283</v>
      </c>
    </row>
    <row r="42" spans="2:20" x14ac:dyDescent="0.3">
      <c r="B42" s="4" t="s">
        <v>3</v>
      </c>
      <c r="C42" s="23" t="s">
        <v>427</v>
      </c>
      <c r="D42" s="23"/>
      <c r="E42" s="23"/>
      <c r="F42" s="23"/>
      <c r="G42" s="23"/>
      <c r="H42" s="23"/>
      <c r="I42" s="23"/>
      <c r="J42" s="23"/>
      <c r="K42" s="23"/>
      <c r="L42" s="23"/>
      <c r="M42" s="23"/>
      <c r="N42" s="23"/>
      <c r="O42" s="23"/>
      <c r="P42" s="23"/>
      <c r="Q42" s="23"/>
      <c r="R42" s="23"/>
      <c r="S42" s="23"/>
      <c r="T42" s="23"/>
    </row>
    <row r="43" spans="2:20" ht="15.6" x14ac:dyDescent="0.3">
      <c r="B43" s="60"/>
    </row>
    <row r="44" spans="2:20" ht="15.6" x14ac:dyDescent="0.3">
      <c r="B44" s="61" t="s">
        <v>284</v>
      </c>
    </row>
    <row r="45" spans="2:20" x14ac:dyDescent="0.3">
      <c r="B45" s="4" t="s">
        <v>3</v>
      </c>
      <c r="C45" s="23" t="s">
        <v>426</v>
      </c>
    </row>
    <row r="47" spans="2:20" ht="15" thickBot="1" x14ac:dyDescent="0.35">
      <c r="C47" t="s">
        <v>4</v>
      </c>
    </row>
    <row r="48" spans="2:20" x14ac:dyDescent="0.3">
      <c r="D48" s="62" t="s">
        <v>271</v>
      </c>
      <c r="E48" s="62" t="s">
        <v>266</v>
      </c>
      <c r="F48" s="62" t="s">
        <v>133</v>
      </c>
      <c r="G48" s="62" t="s">
        <v>267</v>
      </c>
      <c r="H48" s="62" t="s">
        <v>132</v>
      </c>
      <c r="I48" s="62" t="s">
        <v>268</v>
      </c>
      <c r="J48" s="88" t="s">
        <v>269</v>
      </c>
      <c r="K48" s="89" t="s">
        <v>371</v>
      </c>
      <c r="L48" s="108" t="s">
        <v>364</v>
      </c>
    </row>
    <row r="49" spans="2:12" x14ac:dyDescent="0.3">
      <c r="D49" s="62" t="s">
        <v>272</v>
      </c>
      <c r="E49" s="73">
        <v>0</v>
      </c>
      <c r="F49" s="73">
        <v>0</v>
      </c>
      <c r="G49" s="73">
        <v>0</v>
      </c>
      <c r="H49" s="73">
        <v>1</v>
      </c>
      <c r="I49" s="73">
        <v>0</v>
      </c>
      <c r="J49" s="77">
        <v>0</v>
      </c>
      <c r="K49" s="39">
        <f>SUM(E49:J49)</f>
        <v>1</v>
      </c>
      <c r="L49" s="79">
        <v>1</v>
      </c>
    </row>
    <row r="50" spans="2:12" x14ac:dyDescent="0.3">
      <c r="D50" s="62" t="s">
        <v>273</v>
      </c>
      <c r="E50" s="73">
        <v>0</v>
      </c>
      <c r="F50" s="73">
        <v>0</v>
      </c>
      <c r="G50" s="73">
        <v>0</v>
      </c>
      <c r="H50" s="73">
        <v>0</v>
      </c>
      <c r="I50" s="73">
        <v>1</v>
      </c>
      <c r="J50" s="77">
        <v>0</v>
      </c>
      <c r="K50" s="39">
        <f t="shared" ref="K50:K55" si="0">SUM(E50:J50)</f>
        <v>1</v>
      </c>
      <c r="L50" s="79">
        <v>1</v>
      </c>
    </row>
    <row r="51" spans="2:12" x14ac:dyDescent="0.3">
      <c r="D51" s="62" t="s">
        <v>274</v>
      </c>
      <c r="E51" s="73">
        <v>0</v>
      </c>
      <c r="F51" s="73">
        <v>0</v>
      </c>
      <c r="G51" s="73">
        <v>0</v>
      </c>
      <c r="H51" s="73">
        <v>1</v>
      </c>
      <c r="I51" s="73">
        <v>0</v>
      </c>
      <c r="J51" s="77">
        <v>0</v>
      </c>
      <c r="K51" s="39">
        <f t="shared" si="0"/>
        <v>1</v>
      </c>
      <c r="L51" s="79">
        <v>1</v>
      </c>
    </row>
    <row r="52" spans="2:12" x14ac:dyDescent="0.3">
      <c r="D52" s="62" t="s">
        <v>275</v>
      </c>
      <c r="E52" s="73">
        <v>0</v>
      </c>
      <c r="F52" s="73">
        <v>0</v>
      </c>
      <c r="G52" s="73">
        <v>0</v>
      </c>
      <c r="H52" s="73">
        <v>0</v>
      </c>
      <c r="I52" s="73">
        <v>1</v>
      </c>
      <c r="J52" s="77">
        <v>0</v>
      </c>
      <c r="K52" s="39">
        <f t="shared" si="0"/>
        <v>1</v>
      </c>
      <c r="L52" s="79">
        <v>1</v>
      </c>
    </row>
    <row r="53" spans="2:12" x14ac:dyDescent="0.3">
      <c r="D53" s="62" t="s">
        <v>276</v>
      </c>
      <c r="E53" s="73">
        <v>0</v>
      </c>
      <c r="F53" s="73">
        <v>0</v>
      </c>
      <c r="G53" s="73">
        <v>0</v>
      </c>
      <c r="H53" s="73">
        <v>1</v>
      </c>
      <c r="I53" s="73">
        <v>0</v>
      </c>
      <c r="J53" s="77">
        <v>0</v>
      </c>
      <c r="K53" s="39">
        <f t="shared" si="0"/>
        <v>1</v>
      </c>
      <c r="L53" s="79">
        <v>1</v>
      </c>
    </row>
    <row r="54" spans="2:12" x14ac:dyDescent="0.3">
      <c r="D54" s="62" t="s">
        <v>277</v>
      </c>
      <c r="E54" s="73">
        <v>0</v>
      </c>
      <c r="F54" s="73">
        <v>0</v>
      </c>
      <c r="G54" s="73">
        <v>0</v>
      </c>
      <c r="H54" s="73">
        <v>1</v>
      </c>
      <c r="I54" s="73">
        <v>0</v>
      </c>
      <c r="J54" s="77">
        <v>0</v>
      </c>
      <c r="K54" s="39">
        <f t="shared" si="0"/>
        <v>1</v>
      </c>
      <c r="L54" s="79">
        <v>1</v>
      </c>
    </row>
    <row r="55" spans="2:12" ht="15" thickBot="1" x14ac:dyDescent="0.35">
      <c r="D55" s="102" t="s">
        <v>278</v>
      </c>
      <c r="E55" s="75">
        <v>0</v>
      </c>
      <c r="F55" s="75">
        <v>0</v>
      </c>
      <c r="G55" s="75">
        <v>0</v>
      </c>
      <c r="H55" s="75">
        <v>1</v>
      </c>
      <c r="I55" s="75">
        <v>0</v>
      </c>
      <c r="J55" s="124">
        <v>0</v>
      </c>
      <c r="K55" s="67">
        <f t="shared" si="0"/>
        <v>1</v>
      </c>
      <c r="L55" s="79">
        <v>1</v>
      </c>
    </row>
    <row r="56" spans="2:12" ht="15" thickBot="1" x14ac:dyDescent="0.35">
      <c r="D56" s="103" t="s">
        <v>212</v>
      </c>
      <c r="E56" s="36">
        <f>SUM(E49:E55)</f>
        <v>0</v>
      </c>
      <c r="F56" s="36">
        <f t="shared" ref="F56:J56" si="1">SUM(F49:F55)</f>
        <v>0</v>
      </c>
      <c r="G56" s="36">
        <f t="shared" si="1"/>
        <v>0</v>
      </c>
      <c r="H56" s="36">
        <f t="shared" si="1"/>
        <v>5</v>
      </c>
      <c r="I56" s="36">
        <f t="shared" si="1"/>
        <v>2</v>
      </c>
      <c r="J56" s="36">
        <f t="shared" si="1"/>
        <v>0</v>
      </c>
    </row>
    <row r="57" spans="2:12" ht="15" thickBot="1" x14ac:dyDescent="0.35"/>
    <row r="58" spans="2:12" x14ac:dyDescent="0.3">
      <c r="B58" t="s">
        <v>2</v>
      </c>
      <c r="C58" t="s">
        <v>54</v>
      </c>
      <c r="D58" s="62" t="s">
        <v>271</v>
      </c>
      <c r="E58" s="62" t="s">
        <v>266</v>
      </c>
      <c r="F58" s="62" t="s">
        <v>133</v>
      </c>
      <c r="G58" s="62" t="s">
        <v>267</v>
      </c>
      <c r="H58" s="62" t="s">
        <v>132</v>
      </c>
      <c r="I58" s="62" t="s">
        <v>268</v>
      </c>
      <c r="J58" s="62" t="s">
        <v>269</v>
      </c>
      <c r="L58" s="90" t="s">
        <v>372</v>
      </c>
    </row>
    <row r="59" spans="2:12" ht="15" thickBot="1" x14ac:dyDescent="0.35">
      <c r="D59" s="62" t="s">
        <v>272</v>
      </c>
      <c r="E59" s="64">
        <f t="shared" ref="E59:J65" si="2">E74*C16*0.15</f>
        <v>27</v>
      </c>
      <c r="F59" s="64">
        <f t="shared" si="2"/>
        <v>13.5</v>
      </c>
      <c r="G59" s="64">
        <f t="shared" si="2"/>
        <v>13.5</v>
      </c>
      <c r="H59" s="64">
        <f t="shared" si="2"/>
        <v>13.5</v>
      </c>
      <c r="I59" s="64">
        <f t="shared" si="2"/>
        <v>20.25</v>
      </c>
      <c r="J59" s="64">
        <f t="shared" si="2"/>
        <v>20.25</v>
      </c>
      <c r="L59" s="109">
        <f>(K65+K70)*1000</f>
        <v>224000</v>
      </c>
    </row>
    <row r="60" spans="2:12" x14ac:dyDescent="0.3">
      <c r="D60" s="62" t="s">
        <v>273</v>
      </c>
      <c r="E60" s="64">
        <f t="shared" si="2"/>
        <v>58.5</v>
      </c>
      <c r="F60" s="64">
        <f t="shared" si="2"/>
        <v>39</v>
      </c>
      <c r="G60" s="64">
        <f t="shared" si="2"/>
        <v>29.25</v>
      </c>
      <c r="H60" s="64">
        <f t="shared" si="2"/>
        <v>39</v>
      </c>
      <c r="I60" s="64">
        <f t="shared" si="2"/>
        <v>19.5</v>
      </c>
      <c r="J60" s="64">
        <f t="shared" si="2"/>
        <v>19.5</v>
      </c>
    </row>
    <row r="61" spans="2:12" x14ac:dyDescent="0.3">
      <c r="D61" s="62" t="s">
        <v>274</v>
      </c>
      <c r="E61" s="64">
        <f t="shared" si="2"/>
        <v>22.5</v>
      </c>
      <c r="F61" s="64">
        <f t="shared" si="2"/>
        <v>15</v>
      </c>
      <c r="G61" s="64">
        <f t="shared" si="2"/>
        <v>22.5</v>
      </c>
      <c r="H61" s="64">
        <f t="shared" si="2"/>
        <v>15</v>
      </c>
      <c r="I61" s="64">
        <f t="shared" si="2"/>
        <v>37.5</v>
      </c>
      <c r="J61" s="64">
        <f t="shared" si="2"/>
        <v>30</v>
      </c>
    </row>
    <row r="62" spans="2:12" x14ac:dyDescent="0.3">
      <c r="D62" s="62" t="s">
        <v>275</v>
      </c>
      <c r="E62" s="64">
        <f t="shared" si="2"/>
        <v>81</v>
      </c>
      <c r="F62" s="64">
        <f t="shared" si="2"/>
        <v>54</v>
      </c>
      <c r="G62" s="64">
        <f t="shared" si="2"/>
        <v>27</v>
      </c>
      <c r="H62" s="64">
        <f t="shared" si="2"/>
        <v>67.5</v>
      </c>
      <c r="I62" s="64">
        <f t="shared" si="2"/>
        <v>27</v>
      </c>
      <c r="J62" s="64">
        <f t="shared" si="2"/>
        <v>40.5</v>
      </c>
    </row>
    <row r="63" spans="2:12" x14ac:dyDescent="0.3">
      <c r="D63" s="62" t="s">
        <v>276</v>
      </c>
      <c r="E63" s="64">
        <f t="shared" si="2"/>
        <v>21</v>
      </c>
      <c r="F63" s="64">
        <f t="shared" si="2"/>
        <v>31.5</v>
      </c>
      <c r="G63" s="64">
        <f t="shared" si="2"/>
        <v>52.5</v>
      </c>
      <c r="H63" s="64">
        <f t="shared" si="2"/>
        <v>42</v>
      </c>
      <c r="I63" s="64">
        <f t="shared" si="2"/>
        <v>63</v>
      </c>
      <c r="J63" s="64">
        <f t="shared" si="2"/>
        <v>73.5</v>
      </c>
    </row>
    <row r="64" spans="2:12" ht="15" thickBot="1" x14ac:dyDescent="0.35">
      <c r="D64" s="62" t="s">
        <v>277</v>
      </c>
      <c r="E64" s="64">
        <f t="shared" si="2"/>
        <v>84</v>
      </c>
      <c r="F64" s="64">
        <f t="shared" si="2"/>
        <v>48</v>
      </c>
      <c r="G64" s="64">
        <f t="shared" si="2"/>
        <v>36</v>
      </c>
      <c r="H64" s="64">
        <f t="shared" si="2"/>
        <v>24</v>
      </c>
      <c r="I64" s="64">
        <f t="shared" si="2"/>
        <v>48</v>
      </c>
      <c r="J64" s="64">
        <f t="shared" si="2"/>
        <v>24</v>
      </c>
      <c r="K64" t="s">
        <v>387</v>
      </c>
    </row>
    <row r="65" spans="2:11" ht="15" thickBot="1" x14ac:dyDescent="0.35">
      <c r="D65" s="62" t="s">
        <v>278</v>
      </c>
      <c r="E65" s="64">
        <f t="shared" si="2"/>
        <v>18</v>
      </c>
      <c r="F65" s="64">
        <f t="shared" si="2"/>
        <v>27</v>
      </c>
      <c r="G65" s="64">
        <f t="shared" si="2"/>
        <v>54</v>
      </c>
      <c r="H65" s="64">
        <f t="shared" si="2"/>
        <v>18</v>
      </c>
      <c r="I65" s="64">
        <f t="shared" si="2"/>
        <v>63</v>
      </c>
      <c r="J65" s="64">
        <f t="shared" si="2"/>
        <v>54</v>
      </c>
      <c r="K65" s="41">
        <f>SUMPRODUCT(E49:J55,E59:J65)</f>
        <v>159</v>
      </c>
    </row>
    <row r="68" spans="2:11" x14ac:dyDescent="0.3">
      <c r="C68" t="s">
        <v>251</v>
      </c>
      <c r="D68" s="62" t="s">
        <v>316</v>
      </c>
      <c r="E68" s="62" t="s">
        <v>266</v>
      </c>
      <c r="F68" s="62" t="s">
        <v>133</v>
      </c>
      <c r="G68" s="62" t="s">
        <v>267</v>
      </c>
      <c r="H68" s="62" t="s">
        <v>132</v>
      </c>
      <c r="I68" s="62" t="s">
        <v>268</v>
      </c>
      <c r="J68" s="62" t="s">
        <v>269</v>
      </c>
    </row>
    <row r="69" spans="2:11" ht="15" thickBot="1" x14ac:dyDescent="0.35">
      <c r="D69" s="62" t="s">
        <v>16</v>
      </c>
      <c r="E69" s="64">
        <v>25</v>
      </c>
      <c r="F69" s="64">
        <v>60</v>
      </c>
      <c r="G69" s="64">
        <v>35</v>
      </c>
      <c r="H69" s="64">
        <v>35</v>
      </c>
      <c r="I69" s="64">
        <v>30</v>
      </c>
      <c r="J69" s="64">
        <v>35</v>
      </c>
      <c r="K69" t="s">
        <v>388</v>
      </c>
    </row>
    <row r="70" spans="2:11" ht="15" thickBot="1" x14ac:dyDescent="0.35">
      <c r="D70" s="91" t="s">
        <v>386</v>
      </c>
      <c r="E70" s="1">
        <f>IF(E56&gt;0,1,0)</f>
        <v>0</v>
      </c>
      <c r="F70" s="1">
        <f t="shared" ref="F70:J70" si="3">IF(F56&gt;0,1,0)</f>
        <v>0</v>
      </c>
      <c r="G70" s="1">
        <f t="shared" si="3"/>
        <v>0</v>
      </c>
      <c r="H70" s="1">
        <f t="shared" si="3"/>
        <v>1</v>
      </c>
      <c r="I70" s="1">
        <f t="shared" si="3"/>
        <v>1</v>
      </c>
      <c r="J70" s="1">
        <f t="shared" si="3"/>
        <v>0</v>
      </c>
      <c r="K70" s="41">
        <f>SUMPRODUCT(E70:J70,E69:J69)</f>
        <v>65</v>
      </c>
    </row>
    <row r="73" spans="2:11" x14ac:dyDescent="0.3">
      <c r="B73" t="s">
        <v>46</v>
      </c>
      <c r="C73" t="s">
        <v>380</v>
      </c>
      <c r="D73" s="62" t="s">
        <v>271</v>
      </c>
      <c r="E73" s="62" t="s">
        <v>266</v>
      </c>
      <c r="F73" s="62" t="s">
        <v>133</v>
      </c>
      <c r="G73" s="62" t="s">
        <v>267</v>
      </c>
      <c r="H73" s="62" t="s">
        <v>132</v>
      </c>
      <c r="I73" s="62" t="s">
        <v>268</v>
      </c>
      <c r="J73" s="62" t="s">
        <v>269</v>
      </c>
    </row>
    <row r="74" spans="2:11" x14ac:dyDescent="0.3">
      <c r="D74" s="62" t="s">
        <v>272</v>
      </c>
      <c r="E74" s="63">
        <v>45</v>
      </c>
      <c r="F74" s="63">
        <v>45</v>
      </c>
      <c r="G74" s="63">
        <v>45</v>
      </c>
      <c r="H74" s="63">
        <v>45</v>
      </c>
      <c r="I74" s="63">
        <v>45</v>
      </c>
      <c r="J74" s="63">
        <v>45</v>
      </c>
    </row>
    <row r="75" spans="2:11" x14ac:dyDescent="0.3">
      <c r="D75" s="62" t="s">
        <v>273</v>
      </c>
      <c r="E75" s="63">
        <v>65</v>
      </c>
      <c r="F75" s="63">
        <v>65</v>
      </c>
      <c r="G75" s="63">
        <v>65</v>
      </c>
      <c r="H75" s="63">
        <v>65</v>
      </c>
      <c r="I75" s="63">
        <v>65</v>
      </c>
      <c r="J75" s="63">
        <v>65</v>
      </c>
    </row>
    <row r="76" spans="2:11" x14ac:dyDescent="0.3">
      <c r="D76" s="62" t="s">
        <v>274</v>
      </c>
      <c r="E76" s="63">
        <v>50</v>
      </c>
      <c r="F76" s="63">
        <v>50</v>
      </c>
      <c r="G76" s="63">
        <v>50</v>
      </c>
      <c r="H76" s="63">
        <v>50</v>
      </c>
      <c r="I76" s="63">
        <v>50</v>
      </c>
      <c r="J76" s="63">
        <v>50</v>
      </c>
    </row>
    <row r="77" spans="2:11" x14ac:dyDescent="0.3">
      <c r="D77" s="62" t="s">
        <v>275</v>
      </c>
      <c r="E77" s="63">
        <v>90</v>
      </c>
      <c r="F77" s="63">
        <v>90</v>
      </c>
      <c r="G77" s="63">
        <v>90</v>
      </c>
      <c r="H77" s="63">
        <v>90</v>
      </c>
      <c r="I77" s="63">
        <v>90</v>
      </c>
      <c r="J77" s="63">
        <v>90</v>
      </c>
    </row>
    <row r="78" spans="2:11" x14ac:dyDescent="0.3">
      <c r="D78" s="62" t="s">
        <v>276</v>
      </c>
      <c r="E78" s="63">
        <v>70</v>
      </c>
      <c r="F78" s="63">
        <v>70</v>
      </c>
      <c r="G78" s="63">
        <v>70</v>
      </c>
      <c r="H78" s="63">
        <v>70</v>
      </c>
      <c r="I78" s="63">
        <v>70</v>
      </c>
      <c r="J78" s="63">
        <v>70</v>
      </c>
    </row>
    <row r="79" spans="2:11" x14ac:dyDescent="0.3">
      <c r="D79" s="62" t="s">
        <v>277</v>
      </c>
      <c r="E79" s="63">
        <v>80</v>
      </c>
      <c r="F79" s="63">
        <v>80</v>
      </c>
      <c r="G79" s="63">
        <v>80</v>
      </c>
      <c r="H79" s="63">
        <v>80</v>
      </c>
      <c r="I79" s="63">
        <v>80</v>
      </c>
      <c r="J79" s="63">
        <v>80</v>
      </c>
    </row>
    <row r="80" spans="2:11" x14ac:dyDescent="0.3">
      <c r="D80" s="62" t="s">
        <v>278</v>
      </c>
      <c r="E80" s="63">
        <v>60</v>
      </c>
      <c r="F80" s="63">
        <v>60</v>
      </c>
      <c r="G80" s="63">
        <v>60</v>
      </c>
      <c r="H80" s="63">
        <v>60</v>
      </c>
      <c r="I80" s="63">
        <v>60</v>
      </c>
      <c r="J80" s="63">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C808-0EC4-4EF8-978B-A2408168B8B0}">
  <sheetPr>
    <tabColor theme="9" tint="0.59999389629810485"/>
  </sheetPr>
  <dimension ref="A1:I45"/>
  <sheetViews>
    <sheetView tabSelected="1" workbookViewId="0">
      <selection activeCell="H23" sqref="H23"/>
    </sheetView>
  </sheetViews>
  <sheetFormatPr defaultRowHeight="14.4" x14ac:dyDescent="0.3"/>
  <cols>
    <col min="2" max="2" width="20.109375" customWidth="1"/>
    <col min="3" max="3" width="21.6640625" customWidth="1"/>
    <col min="4" max="4" width="17" customWidth="1"/>
    <col min="5" max="5" width="15.77734375" customWidth="1"/>
    <col min="6" max="6" width="16.77734375" customWidth="1"/>
    <col min="7" max="7" width="14.6640625" customWidth="1"/>
    <col min="8" max="8" width="27.33203125" customWidth="1"/>
  </cols>
  <sheetData>
    <row r="1" spans="1:4" x14ac:dyDescent="0.3">
      <c r="A1" t="s">
        <v>287</v>
      </c>
    </row>
    <row r="2" spans="1:4" x14ac:dyDescent="0.3">
      <c r="A2" s="154" t="s">
        <v>289</v>
      </c>
      <c r="B2" s="153" t="s">
        <v>290</v>
      </c>
      <c r="C2" s="132" t="s">
        <v>288</v>
      </c>
    </row>
    <row r="3" spans="1:4" x14ac:dyDescent="0.3">
      <c r="A3" s="154"/>
      <c r="B3" s="154"/>
      <c r="C3" s="133" t="s">
        <v>291</v>
      </c>
    </row>
    <row r="4" spans="1:4" x14ac:dyDescent="0.3">
      <c r="A4" s="134">
        <v>1</v>
      </c>
      <c r="B4" s="134">
        <v>400</v>
      </c>
      <c r="C4" s="134">
        <v>1500</v>
      </c>
    </row>
    <row r="5" spans="1:4" x14ac:dyDescent="0.3">
      <c r="A5" s="134">
        <v>2</v>
      </c>
      <c r="B5" s="134">
        <v>600</v>
      </c>
      <c r="C5" s="134">
        <v>2000</v>
      </c>
    </row>
    <row r="6" spans="1:4" x14ac:dyDescent="0.3">
      <c r="A6" s="134">
        <v>3</v>
      </c>
      <c r="B6" s="134">
        <v>300</v>
      </c>
      <c r="C6" s="134">
        <v>900</v>
      </c>
    </row>
    <row r="7" spans="1:4" x14ac:dyDescent="0.3">
      <c r="A7" s="19"/>
    </row>
    <row r="8" spans="1:4" x14ac:dyDescent="0.3">
      <c r="A8" t="s">
        <v>292</v>
      </c>
    </row>
    <row r="9" spans="1:4" x14ac:dyDescent="0.3">
      <c r="A9" s="19"/>
    </row>
    <row r="10" spans="1:4" ht="15.6" customHeight="1" x14ac:dyDescent="0.3">
      <c r="A10" s="154" t="s">
        <v>297</v>
      </c>
      <c r="B10" s="152" t="s">
        <v>298</v>
      </c>
      <c r="C10" s="152" t="s">
        <v>299</v>
      </c>
      <c r="D10" s="152" t="s">
        <v>300</v>
      </c>
    </row>
    <row r="11" spans="1:4" ht="25.8" customHeight="1" x14ac:dyDescent="0.3">
      <c r="A11" s="154"/>
      <c r="B11" s="152"/>
      <c r="C11" s="152"/>
      <c r="D11" s="152"/>
    </row>
    <row r="12" spans="1:4" x14ac:dyDescent="0.3">
      <c r="A12" s="134" t="s">
        <v>293</v>
      </c>
      <c r="B12" s="134">
        <v>700</v>
      </c>
      <c r="C12" s="134">
        <v>6</v>
      </c>
      <c r="D12" s="134">
        <v>400</v>
      </c>
    </row>
    <row r="13" spans="1:4" x14ac:dyDescent="0.3">
      <c r="A13" s="134" t="s">
        <v>294</v>
      </c>
      <c r="B13" s="134">
        <v>800</v>
      </c>
      <c r="C13" s="134">
        <v>4</v>
      </c>
      <c r="D13" s="134">
        <v>300</v>
      </c>
    </row>
    <row r="14" spans="1:4" x14ac:dyDescent="0.3">
      <c r="A14" s="134" t="s">
        <v>295</v>
      </c>
      <c r="B14" s="134">
        <v>300</v>
      </c>
      <c r="C14" s="134">
        <v>2</v>
      </c>
      <c r="D14" s="134">
        <v>100</v>
      </c>
    </row>
    <row r="17" spans="1:9" x14ac:dyDescent="0.3">
      <c r="A17" s="19"/>
    </row>
    <row r="18" spans="1:9" x14ac:dyDescent="0.3">
      <c r="A18" t="s">
        <v>296</v>
      </c>
    </row>
    <row r="20" spans="1:9" x14ac:dyDescent="0.3">
      <c r="B20" t="s">
        <v>218</v>
      </c>
      <c r="C20" s="135" t="s">
        <v>317</v>
      </c>
      <c r="D20" s="134" t="s">
        <v>293</v>
      </c>
      <c r="E20" s="134" t="s">
        <v>294</v>
      </c>
      <c r="F20" s="134" t="s">
        <v>295</v>
      </c>
    </row>
    <row r="21" spans="1:9" x14ac:dyDescent="0.3">
      <c r="C21" s="134">
        <v>1</v>
      </c>
      <c r="D21" s="98">
        <v>0</v>
      </c>
      <c r="E21" s="98">
        <v>375</v>
      </c>
      <c r="F21" s="98">
        <v>0</v>
      </c>
    </row>
    <row r="22" spans="1:9" x14ac:dyDescent="0.3">
      <c r="C22" s="134">
        <v>2</v>
      </c>
      <c r="D22" s="98">
        <v>50</v>
      </c>
      <c r="E22" s="98">
        <v>425</v>
      </c>
      <c r="F22" s="98">
        <v>0</v>
      </c>
    </row>
    <row r="23" spans="1:9" ht="15" thickBot="1" x14ac:dyDescent="0.35">
      <c r="C23" s="134">
        <v>3</v>
      </c>
      <c r="D23" s="99">
        <v>150</v>
      </c>
      <c r="E23" s="99">
        <v>0</v>
      </c>
      <c r="F23" s="99">
        <v>0</v>
      </c>
    </row>
    <row r="24" spans="1:9" ht="15" thickBot="1" x14ac:dyDescent="0.35">
      <c r="C24" s="19" t="s">
        <v>319</v>
      </c>
      <c r="D24" s="130">
        <f>SUM(D21:D23)</f>
        <v>200</v>
      </c>
      <c r="E24" s="130">
        <f t="shared" ref="E24:F24" si="0">SUM(E21:E23)</f>
        <v>800</v>
      </c>
      <c r="F24" s="131">
        <f t="shared" si="0"/>
        <v>0</v>
      </c>
      <c r="I24" s="41"/>
    </row>
    <row r="26" spans="1:9" x14ac:dyDescent="0.3">
      <c r="A26" t="s">
        <v>2</v>
      </c>
      <c r="B26" t="s">
        <v>117</v>
      </c>
      <c r="C26" t="s">
        <v>72</v>
      </c>
      <c r="D26" s="134">
        <v>400</v>
      </c>
      <c r="E26" s="134">
        <v>300</v>
      </c>
      <c r="F26" s="134">
        <v>100</v>
      </c>
      <c r="G26" s="100">
        <f>SUMPRODUCT(D24:F24,D26:F26)</f>
        <v>320000</v>
      </c>
    </row>
    <row r="28" spans="1:9" ht="14.4" customHeight="1" x14ac:dyDescent="0.3">
      <c r="A28" t="s">
        <v>46</v>
      </c>
      <c r="B28" s="154" t="s">
        <v>297</v>
      </c>
      <c r="C28" s="154"/>
      <c r="D28" s="134" t="s">
        <v>293</v>
      </c>
      <c r="E28" s="134" t="s">
        <v>294</v>
      </c>
      <c r="F28" s="134" t="s">
        <v>295</v>
      </c>
    </row>
    <row r="29" spans="1:9" x14ac:dyDescent="0.3">
      <c r="B29" s="152" t="s">
        <v>298</v>
      </c>
      <c r="C29" s="152"/>
      <c r="D29" s="134">
        <v>700</v>
      </c>
      <c r="E29" s="134">
        <v>800</v>
      </c>
      <c r="F29" s="134">
        <v>300</v>
      </c>
    </row>
    <row r="30" spans="1:9" x14ac:dyDescent="0.3">
      <c r="B30" s="152" t="s">
        <v>299</v>
      </c>
      <c r="C30" s="152"/>
      <c r="D30" s="134">
        <v>6</v>
      </c>
      <c r="E30" s="134">
        <v>4</v>
      </c>
      <c r="F30" s="134">
        <v>2</v>
      </c>
    </row>
    <row r="33" spans="1:8" x14ac:dyDescent="0.3">
      <c r="B33" s="154" t="s">
        <v>289</v>
      </c>
      <c r="C33" s="153" t="s">
        <v>320</v>
      </c>
      <c r="D33" s="154" t="s">
        <v>321</v>
      </c>
    </row>
    <row r="34" spans="1:8" x14ac:dyDescent="0.3">
      <c r="B34" s="154"/>
      <c r="C34" s="153"/>
      <c r="D34" s="154"/>
    </row>
    <row r="35" spans="1:8" x14ac:dyDescent="0.3">
      <c r="B35" s="134">
        <v>1</v>
      </c>
      <c r="C35" s="134">
        <v>400</v>
      </c>
      <c r="D35" s="1">
        <f>SUM(D21:F21)</f>
        <v>375</v>
      </c>
    </row>
    <row r="36" spans="1:8" x14ac:dyDescent="0.3">
      <c r="B36" s="134">
        <v>2</v>
      </c>
      <c r="C36" s="134">
        <v>600</v>
      </c>
      <c r="D36" s="1">
        <f t="shared" ref="D36:D37" si="1">SUM(D22:F22)</f>
        <v>475</v>
      </c>
    </row>
    <row r="37" spans="1:8" x14ac:dyDescent="0.3">
      <c r="B37" s="134">
        <v>3</v>
      </c>
      <c r="C37" s="134">
        <v>300</v>
      </c>
      <c r="D37" s="1">
        <f t="shared" si="1"/>
        <v>150</v>
      </c>
    </row>
    <row r="38" spans="1:8" ht="15" thickBot="1" x14ac:dyDescent="0.35"/>
    <row r="39" spans="1:8" x14ac:dyDescent="0.3">
      <c r="B39" s="154" t="s">
        <v>322</v>
      </c>
      <c r="C39" s="135" t="s">
        <v>317</v>
      </c>
      <c r="D39" s="134" t="s">
        <v>293</v>
      </c>
      <c r="E39" s="134" t="s">
        <v>294</v>
      </c>
      <c r="F39" s="136" t="s">
        <v>295</v>
      </c>
      <c r="G39" s="137" t="s">
        <v>212</v>
      </c>
      <c r="H39" s="138" t="s">
        <v>323</v>
      </c>
    </row>
    <row r="40" spans="1:8" x14ac:dyDescent="0.3">
      <c r="B40" s="154"/>
      <c r="C40" s="134">
        <v>1</v>
      </c>
      <c r="D40" s="1">
        <f>$D$30*D21</f>
        <v>0</v>
      </c>
      <c r="E40" s="1">
        <f>$E$30*E21</f>
        <v>1500</v>
      </c>
      <c r="F40" s="37">
        <f>$F$30*F21</f>
        <v>0</v>
      </c>
      <c r="G40" s="39">
        <f>SUM(D40:F40)</f>
        <v>1500</v>
      </c>
      <c r="H40" s="139">
        <v>1500</v>
      </c>
    </row>
    <row r="41" spans="1:8" x14ac:dyDescent="0.3">
      <c r="C41" s="140">
        <v>2</v>
      </c>
      <c r="D41" s="1">
        <f>$D$30*D22</f>
        <v>300</v>
      </c>
      <c r="E41" s="1">
        <f t="shared" ref="E41:E42" si="2">$E$30*E22</f>
        <v>1700</v>
      </c>
      <c r="F41" s="37">
        <f t="shared" ref="F41:F42" si="3">$F$30*F22</f>
        <v>0</v>
      </c>
      <c r="G41" s="39">
        <f t="shared" ref="G41:G42" si="4">SUM(D41:F41)</f>
        <v>2000</v>
      </c>
      <c r="H41" s="141">
        <v>2000</v>
      </c>
    </row>
    <row r="42" spans="1:8" ht="15" thickBot="1" x14ac:dyDescent="0.35">
      <c r="C42" s="140">
        <v>3</v>
      </c>
      <c r="D42" s="1">
        <f t="shared" ref="D42" si="5">$D$30*D23</f>
        <v>900</v>
      </c>
      <c r="E42" s="1">
        <f t="shared" si="2"/>
        <v>0</v>
      </c>
      <c r="F42" s="37">
        <f t="shared" si="3"/>
        <v>0</v>
      </c>
      <c r="G42" s="67">
        <f t="shared" si="4"/>
        <v>900</v>
      </c>
      <c r="H42" s="141">
        <v>900</v>
      </c>
    </row>
    <row r="44" spans="1:8" x14ac:dyDescent="0.3">
      <c r="A44" s="4" t="s">
        <v>3</v>
      </c>
      <c r="B44" s="23" t="s">
        <v>429</v>
      </c>
      <c r="C44" s="23"/>
      <c r="D44" s="23"/>
      <c r="E44" s="23"/>
      <c r="F44" s="23"/>
      <c r="G44" s="23"/>
      <c r="H44" s="23"/>
    </row>
    <row r="45" spans="1:8" x14ac:dyDescent="0.3">
      <c r="B45" s="23" t="s">
        <v>430</v>
      </c>
      <c r="C45" s="23"/>
      <c r="D45" s="23"/>
      <c r="E45" s="23"/>
      <c r="F45" s="23"/>
      <c r="G45" s="23"/>
      <c r="H45" s="23"/>
    </row>
  </sheetData>
  <mergeCells count="13">
    <mergeCell ref="B39:B40"/>
    <mergeCell ref="B33:B34"/>
    <mergeCell ref="C33:C34"/>
    <mergeCell ref="D33:D34"/>
    <mergeCell ref="B28:C28"/>
    <mergeCell ref="B29:C29"/>
    <mergeCell ref="B30:C30"/>
    <mergeCell ref="D10:D11"/>
    <mergeCell ref="B2:B3"/>
    <mergeCell ref="A2:A3"/>
    <mergeCell ref="A10:A11"/>
    <mergeCell ref="B10:B11"/>
    <mergeCell ref="C10:C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00A2-5210-4C8A-B6A0-946331F5AE08}">
  <sheetPr>
    <tabColor theme="4" tint="0.59999389629810485"/>
  </sheetPr>
  <dimension ref="A1:L45"/>
  <sheetViews>
    <sheetView workbookViewId="0">
      <selection activeCell="J23" sqref="J23"/>
    </sheetView>
  </sheetViews>
  <sheetFormatPr defaultRowHeight="14.4" x14ac:dyDescent="0.3"/>
  <cols>
    <col min="3" max="3" width="11.6640625" customWidth="1"/>
    <col min="5" max="5" width="13" customWidth="1"/>
    <col min="12" max="12" width="11.44140625" bestFit="1" customWidth="1"/>
  </cols>
  <sheetData>
    <row r="1" spans="1:11" x14ac:dyDescent="0.3">
      <c r="A1" t="s">
        <v>341</v>
      </c>
    </row>
    <row r="3" spans="1:11" x14ac:dyDescent="0.3">
      <c r="A3" s="4" t="s">
        <v>103</v>
      </c>
      <c r="B3" s="23" t="s">
        <v>369</v>
      </c>
      <c r="C3" s="23"/>
      <c r="D3" s="23"/>
      <c r="E3" s="23"/>
      <c r="F3" s="23"/>
      <c r="G3" s="23"/>
      <c r="H3" s="23"/>
      <c r="I3" s="23"/>
      <c r="J3" s="23"/>
      <c r="K3" s="23"/>
    </row>
    <row r="5" spans="1:11" x14ac:dyDescent="0.3">
      <c r="B5" t="s">
        <v>4</v>
      </c>
      <c r="C5" s="64" t="s">
        <v>334</v>
      </c>
      <c r="D5" s="64" t="s">
        <v>0</v>
      </c>
      <c r="E5" s="64" t="s">
        <v>1</v>
      </c>
      <c r="F5" s="64" t="s">
        <v>53</v>
      </c>
      <c r="G5" s="64" t="s">
        <v>45</v>
      </c>
      <c r="H5" s="64" t="s">
        <v>332</v>
      </c>
      <c r="I5" s="64" t="s">
        <v>367</v>
      </c>
    </row>
    <row r="6" spans="1:11" x14ac:dyDescent="0.3">
      <c r="C6" s="64">
        <v>1</v>
      </c>
      <c r="D6" s="84">
        <v>0</v>
      </c>
      <c r="E6" s="73">
        <v>153</v>
      </c>
      <c r="F6" s="84">
        <v>0</v>
      </c>
      <c r="G6" s="84">
        <v>0</v>
      </c>
      <c r="H6" s="84">
        <v>0</v>
      </c>
      <c r="I6" s="1">
        <f>SUM(D6:H6)</f>
        <v>153</v>
      </c>
    </row>
    <row r="7" spans="1:11" x14ac:dyDescent="0.3">
      <c r="C7" s="64">
        <v>2</v>
      </c>
      <c r="D7" s="73">
        <v>55</v>
      </c>
      <c r="E7" s="73">
        <v>97</v>
      </c>
      <c r="F7" s="84">
        <v>0</v>
      </c>
      <c r="G7" s="84">
        <v>0</v>
      </c>
      <c r="H7" s="84">
        <v>0</v>
      </c>
      <c r="I7" s="1">
        <f t="shared" ref="I7:I14" si="0">SUM(D7:H7)</f>
        <v>152</v>
      </c>
    </row>
    <row r="8" spans="1:11" x14ac:dyDescent="0.3">
      <c r="C8" s="64">
        <v>3</v>
      </c>
      <c r="D8" s="73">
        <v>29</v>
      </c>
      <c r="E8" s="84">
        <v>0</v>
      </c>
      <c r="F8" s="73">
        <v>125</v>
      </c>
      <c r="G8" s="84">
        <v>0</v>
      </c>
      <c r="H8" s="84">
        <v>0</v>
      </c>
      <c r="I8" s="1">
        <f t="shared" si="0"/>
        <v>154</v>
      </c>
    </row>
    <row r="9" spans="1:11" x14ac:dyDescent="0.3">
      <c r="C9" s="64">
        <v>4</v>
      </c>
      <c r="D9" s="84">
        <v>0</v>
      </c>
      <c r="E9" s="84">
        <v>0</v>
      </c>
      <c r="F9" s="73">
        <v>138</v>
      </c>
      <c r="G9" s="84">
        <v>0</v>
      </c>
      <c r="H9" s="84">
        <v>0</v>
      </c>
      <c r="I9" s="1">
        <f t="shared" si="0"/>
        <v>138</v>
      </c>
    </row>
    <row r="10" spans="1:11" x14ac:dyDescent="0.3">
      <c r="C10" s="64">
        <v>5</v>
      </c>
      <c r="D10" s="84">
        <v>0</v>
      </c>
      <c r="E10" s="84">
        <v>0</v>
      </c>
      <c r="F10" s="73">
        <v>127</v>
      </c>
      <c r="G10" s="84">
        <v>0</v>
      </c>
      <c r="H10" s="84">
        <v>0</v>
      </c>
      <c r="I10" s="1">
        <f t="shared" si="0"/>
        <v>127</v>
      </c>
    </row>
    <row r="11" spans="1:11" x14ac:dyDescent="0.3">
      <c r="C11" s="64">
        <v>6</v>
      </c>
      <c r="D11" s="73">
        <v>1</v>
      </c>
      <c r="E11" s="84">
        <v>0</v>
      </c>
      <c r="F11" s="84">
        <v>0</v>
      </c>
      <c r="G11" s="84">
        <v>0</v>
      </c>
      <c r="H11" s="73">
        <v>128</v>
      </c>
      <c r="I11" s="1">
        <f t="shared" si="0"/>
        <v>129</v>
      </c>
    </row>
    <row r="12" spans="1:11" x14ac:dyDescent="0.3">
      <c r="C12" s="64">
        <v>7</v>
      </c>
      <c r="D12" s="84">
        <v>0</v>
      </c>
      <c r="E12" s="84">
        <v>0</v>
      </c>
      <c r="F12" s="84">
        <v>0</v>
      </c>
      <c r="G12" s="73">
        <v>39</v>
      </c>
      <c r="H12" s="73">
        <v>72</v>
      </c>
      <c r="I12" s="1">
        <f t="shared" si="0"/>
        <v>111</v>
      </c>
    </row>
    <row r="13" spans="1:11" x14ac:dyDescent="0.3">
      <c r="C13" s="64">
        <v>8</v>
      </c>
      <c r="D13" s="84">
        <v>0</v>
      </c>
      <c r="E13" s="84">
        <v>0</v>
      </c>
      <c r="F13" s="73">
        <v>110</v>
      </c>
      <c r="G13" s="84">
        <v>0</v>
      </c>
      <c r="H13" s="84">
        <v>0</v>
      </c>
      <c r="I13" s="1">
        <f t="shared" si="0"/>
        <v>110</v>
      </c>
    </row>
    <row r="14" spans="1:11" x14ac:dyDescent="0.3">
      <c r="C14" s="64">
        <v>9</v>
      </c>
      <c r="D14" s="73">
        <v>130</v>
      </c>
      <c r="E14" s="84">
        <v>0</v>
      </c>
      <c r="F14" s="84">
        <v>0</v>
      </c>
      <c r="G14" s="84">
        <v>0</v>
      </c>
      <c r="H14" s="84">
        <v>0</v>
      </c>
      <c r="I14" s="1">
        <f t="shared" si="0"/>
        <v>130</v>
      </c>
    </row>
    <row r="15" spans="1:11" ht="15" thickBot="1" x14ac:dyDescent="0.35">
      <c r="C15" s="74">
        <v>10</v>
      </c>
      <c r="D15" s="75">
        <v>135</v>
      </c>
      <c r="E15" s="86">
        <v>0</v>
      </c>
      <c r="F15" s="86">
        <v>0</v>
      </c>
      <c r="G15" s="86">
        <v>0</v>
      </c>
      <c r="H15" s="86">
        <v>0</v>
      </c>
      <c r="I15" s="1">
        <f>SUM(D15:H15)</f>
        <v>135</v>
      </c>
    </row>
    <row r="16" spans="1:11" ht="15" thickBot="1" x14ac:dyDescent="0.35">
      <c r="C16" s="82" t="s">
        <v>212</v>
      </c>
      <c r="D16" s="35">
        <f>SUM(D6:D15)</f>
        <v>350</v>
      </c>
      <c r="E16" s="35">
        <f t="shared" ref="E16:G16" si="1">SUM(E6:E15)</f>
        <v>250</v>
      </c>
      <c r="F16" s="35">
        <f t="shared" si="1"/>
        <v>500</v>
      </c>
      <c r="G16" s="35">
        <f t="shared" si="1"/>
        <v>39</v>
      </c>
      <c r="H16" s="35">
        <f>SUM(H6:H15)</f>
        <v>200</v>
      </c>
    </row>
    <row r="18" spans="1:12" x14ac:dyDescent="0.3">
      <c r="A18" t="s">
        <v>2</v>
      </c>
      <c r="B18" t="s">
        <v>54</v>
      </c>
      <c r="C18" t="s">
        <v>16</v>
      </c>
      <c r="D18">
        <f>0.1*1000</f>
        <v>100</v>
      </c>
      <c r="E18" s="59">
        <f>SUMPRODUCT(D20:H29,D6:H15)*D18</f>
        <v>478489.99999999994</v>
      </c>
      <c r="K18" s="72" t="s">
        <v>368</v>
      </c>
      <c r="L18" s="83">
        <f>'Snow Removal'!E43-'Union Busting'!E18</f>
        <v>68510.000000000058</v>
      </c>
    </row>
    <row r="19" spans="1:12" x14ac:dyDescent="0.3">
      <c r="C19" s="64" t="s">
        <v>334</v>
      </c>
      <c r="D19" s="64" t="s">
        <v>0</v>
      </c>
      <c r="E19" s="64" t="s">
        <v>1</v>
      </c>
      <c r="F19" s="64" t="s">
        <v>53</v>
      </c>
      <c r="G19" s="64" t="s">
        <v>45</v>
      </c>
      <c r="H19" s="64" t="s">
        <v>332</v>
      </c>
    </row>
    <row r="20" spans="1:12" x14ac:dyDescent="0.3">
      <c r="C20" s="64">
        <v>1</v>
      </c>
      <c r="D20" s="64">
        <v>3.4</v>
      </c>
      <c r="E20" s="64">
        <v>1.4</v>
      </c>
      <c r="F20" s="64">
        <v>4.9000000000000004</v>
      </c>
      <c r="G20" s="64">
        <v>7.4</v>
      </c>
      <c r="H20" s="64">
        <v>9.3000000000000007</v>
      </c>
    </row>
    <row r="21" spans="1:12" x14ac:dyDescent="0.3">
      <c r="C21" s="64">
        <v>2</v>
      </c>
      <c r="D21" s="64">
        <v>2.4</v>
      </c>
      <c r="E21" s="64">
        <v>2.1</v>
      </c>
      <c r="F21" s="64">
        <v>8.3000000000000007</v>
      </c>
      <c r="G21" s="64">
        <v>9.1</v>
      </c>
      <c r="H21" s="64">
        <v>8.8000000000000007</v>
      </c>
    </row>
    <row r="22" spans="1:12" x14ac:dyDescent="0.3">
      <c r="C22" s="64">
        <v>3</v>
      </c>
      <c r="D22" s="64">
        <v>1.4</v>
      </c>
      <c r="E22" s="64">
        <v>2.9</v>
      </c>
      <c r="F22" s="64">
        <v>3.7</v>
      </c>
      <c r="G22" s="64">
        <v>9.4</v>
      </c>
      <c r="H22" s="64">
        <v>8.6</v>
      </c>
    </row>
    <row r="23" spans="1:12" x14ac:dyDescent="0.3">
      <c r="C23" s="64">
        <v>4</v>
      </c>
      <c r="D23" s="64">
        <v>2.6</v>
      </c>
      <c r="E23" s="64">
        <v>3.6</v>
      </c>
      <c r="F23" s="64">
        <v>4.5</v>
      </c>
      <c r="G23" s="64">
        <v>8.1999999999999993</v>
      </c>
      <c r="H23" s="64">
        <v>8.9</v>
      </c>
    </row>
    <row r="24" spans="1:12" x14ac:dyDescent="0.3">
      <c r="C24" s="64">
        <v>5</v>
      </c>
      <c r="D24" s="64">
        <v>1.5</v>
      </c>
      <c r="E24" s="64">
        <v>3.1</v>
      </c>
      <c r="F24" s="64">
        <v>2.1</v>
      </c>
      <c r="G24" s="64">
        <v>7.9</v>
      </c>
      <c r="H24" s="64">
        <v>8.8000000000000007</v>
      </c>
    </row>
    <row r="25" spans="1:12" x14ac:dyDescent="0.3">
      <c r="C25" s="64">
        <v>6</v>
      </c>
      <c r="D25" s="64">
        <v>4.2</v>
      </c>
      <c r="E25" s="64">
        <v>4.9000000000000004</v>
      </c>
      <c r="F25" s="64">
        <v>6.5</v>
      </c>
      <c r="G25" s="64">
        <v>7.7</v>
      </c>
      <c r="H25" s="64">
        <v>6.1</v>
      </c>
    </row>
    <row r="26" spans="1:12" x14ac:dyDescent="0.3">
      <c r="C26" s="64">
        <v>7</v>
      </c>
      <c r="D26" s="64">
        <v>4.8</v>
      </c>
      <c r="E26" s="64">
        <v>6.2</v>
      </c>
      <c r="F26" s="64">
        <v>9.9</v>
      </c>
      <c r="G26" s="64">
        <v>6.2</v>
      </c>
      <c r="H26" s="64">
        <v>5.7</v>
      </c>
    </row>
    <row r="27" spans="1:12" x14ac:dyDescent="0.3">
      <c r="C27" s="64">
        <v>8</v>
      </c>
      <c r="D27" s="64">
        <v>5.4</v>
      </c>
      <c r="E27" s="64">
        <v>6</v>
      </c>
      <c r="F27" s="64">
        <v>5.2</v>
      </c>
      <c r="G27" s="64">
        <v>7.6</v>
      </c>
      <c r="H27" s="64">
        <v>4.9000000000000004</v>
      </c>
    </row>
    <row r="28" spans="1:12" x14ac:dyDescent="0.3">
      <c r="C28" s="64">
        <v>9</v>
      </c>
      <c r="D28" s="64">
        <v>3.1</v>
      </c>
      <c r="E28" s="64">
        <v>4.0999999999999996</v>
      </c>
      <c r="F28" s="64">
        <v>6.6</v>
      </c>
      <c r="G28" s="64">
        <v>7.5</v>
      </c>
      <c r="H28" s="64">
        <v>7.2</v>
      </c>
    </row>
    <row r="29" spans="1:12" x14ac:dyDescent="0.3">
      <c r="C29" s="64">
        <v>10</v>
      </c>
      <c r="D29" s="64">
        <v>3.2</v>
      </c>
      <c r="E29" s="64">
        <v>6.5</v>
      </c>
      <c r="F29" s="64">
        <v>7.1</v>
      </c>
      <c r="G29" s="64">
        <v>6</v>
      </c>
      <c r="H29" s="64">
        <v>8.3000000000000007</v>
      </c>
    </row>
    <row r="32" spans="1:12" x14ac:dyDescent="0.3">
      <c r="A32" t="s">
        <v>46</v>
      </c>
      <c r="C32" s="62" t="s">
        <v>331</v>
      </c>
      <c r="D32" s="64" t="s">
        <v>0</v>
      </c>
      <c r="E32" s="64" t="s">
        <v>1</v>
      </c>
      <c r="F32" s="64" t="s">
        <v>53</v>
      </c>
      <c r="G32" s="64" t="s">
        <v>45</v>
      </c>
      <c r="H32" s="64" t="s">
        <v>332</v>
      </c>
    </row>
    <row r="33" spans="3:8" x14ac:dyDescent="0.3">
      <c r="C33" s="62" t="s">
        <v>365</v>
      </c>
      <c r="D33" s="64">
        <v>350</v>
      </c>
      <c r="E33" s="64">
        <v>250</v>
      </c>
      <c r="F33" s="64">
        <v>500</v>
      </c>
      <c r="G33" s="64">
        <v>400</v>
      </c>
      <c r="H33" s="64">
        <v>200</v>
      </c>
    </row>
    <row r="35" spans="3:8" x14ac:dyDescent="0.3">
      <c r="C35" s="64" t="s">
        <v>366</v>
      </c>
      <c r="D35" s="64" t="s">
        <v>338</v>
      </c>
    </row>
    <row r="36" spans="3:8" x14ac:dyDescent="0.3">
      <c r="C36" s="64">
        <v>1</v>
      </c>
      <c r="D36" s="64">
        <v>153</v>
      </c>
    </row>
    <row r="37" spans="3:8" x14ac:dyDescent="0.3">
      <c r="C37" s="64">
        <v>2</v>
      </c>
      <c r="D37" s="64">
        <v>152</v>
      </c>
    </row>
    <row r="38" spans="3:8" x14ac:dyDescent="0.3">
      <c r="C38" s="64">
        <v>3</v>
      </c>
      <c r="D38" s="64">
        <v>154</v>
      </c>
    </row>
    <row r="39" spans="3:8" x14ac:dyDescent="0.3">
      <c r="C39" s="64">
        <v>4</v>
      </c>
      <c r="D39" s="64">
        <v>138</v>
      </c>
    </row>
    <row r="40" spans="3:8" x14ac:dyDescent="0.3">
      <c r="C40" s="64">
        <v>5</v>
      </c>
      <c r="D40" s="64">
        <v>127</v>
      </c>
    </row>
    <row r="41" spans="3:8" x14ac:dyDescent="0.3">
      <c r="C41" s="64">
        <v>6</v>
      </c>
      <c r="D41" s="64">
        <v>129</v>
      </c>
    </row>
    <row r="42" spans="3:8" x14ac:dyDescent="0.3">
      <c r="C42" s="64">
        <v>7</v>
      </c>
      <c r="D42" s="64">
        <v>111</v>
      </c>
    </row>
    <row r="43" spans="3:8" x14ac:dyDescent="0.3">
      <c r="C43" s="64">
        <v>8</v>
      </c>
      <c r="D43" s="64">
        <v>110</v>
      </c>
    </row>
    <row r="44" spans="3:8" x14ac:dyDescent="0.3">
      <c r="C44" s="64">
        <v>9</v>
      </c>
      <c r="D44" s="64">
        <v>130</v>
      </c>
    </row>
    <row r="45" spans="3:8" x14ac:dyDescent="0.3">
      <c r="C45" s="64">
        <v>10</v>
      </c>
      <c r="D45" s="64">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28020-7D1E-40F7-BC7C-3AFF7AF382CD}">
  <sheetPr>
    <tabColor theme="3" tint="0.59999389629810485"/>
  </sheetPr>
  <dimension ref="A1:M46"/>
  <sheetViews>
    <sheetView workbookViewId="0">
      <selection activeCell="P14" sqref="P14"/>
    </sheetView>
  </sheetViews>
  <sheetFormatPr defaultRowHeight="14.4" x14ac:dyDescent="0.3"/>
  <cols>
    <col min="2" max="2" width="11.6640625" customWidth="1"/>
    <col min="3" max="3" width="14.21875" customWidth="1"/>
    <col min="4" max="4" width="13.88671875" customWidth="1"/>
    <col min="5" max="5" width="12.6640625" bestFit="1" customWidth="1"/>
    <col min="6" max="7" width="12.5546875" bestFit="1" customWidth="1"/>
  </cols>
  <sheetData>
    <row r="1" spans="1:7" x14ac:dyDescent="0.3">
      <c r="A1" t="s">
        <v>61</v>
      </c>
    </row>
    <row r="3" spans="1:7" x14ac:dyDescent="0.3">
      <c r="A3" t="s">
        <v>62</v>
      </c>
    </row>
    <row r="5" spans="1:7" x14ac:dyDescent="0.3">
      <c r="A5" t="s">
        <v>63</v>
      </c>
    </row>
    <row r="7" spans="1:7" x14ac:dyDescent="0.3">
      <c r="A7" t="s">
        <v>64</v>
      </c>
    </row>
    <row r="9" spans="1:7" x14ac:dyDescent="0.3">
      <c r="A9" s="2" t="s">
        <v>112</v>
      </c>
      <c r="B9" t="s">
        <v>65</v>
      </c>
    </row>
    <row r="12" spans="1:7" x14ac:dyDescent="0.3">
      <c r="B12" t="s">
        <v>4</v>
      </c>
      <c r="C12" t="s">
        <v>104</v>
      </c>
      <c r="D12" t="s">
        <v>92</v>
      </c>
      <c r="E12" t="s">
        <v>105</v>
      </c>
    </row>
    <row r="13" spans="1:7" x14ac:dyDescent="0.3">
      <c r="B13" t="s">
        <v>5</v>
      </c>
      <c r="C13" s="95">
        <v>399999.99999999994</v>
      </c>
      <c r="D13" s="95">
        <v>100000</v>
      </c>
      <c r="E13" s="95">
        <v>500000</v>
      </c>
      <c r="F13" s="25">
        <f>SUM(C13:E13)</f>
        <v>1000000</v>
      </c>
      <c r="G13" s="26">
        <v>1000000</v>
      </c>
    </row>
    <row r="15" spans="1:7" x14ac:dyDescent="0.3">
      <c r="A15" t="s">
        <v>106</v>
      </c>
      <c r="B15" t="s">
        <v>6</v>
      </c>
      <c r="C15">
        <v>0.2</v>
      </c>
      <c r="D15">
        <v>0.1</v>
      </c>
      <c r="E15">
        <v>0.06</v>
      </c>
      <c r="F15" s="59">
        <f>SUMPRODUCT(C15:E15,C13:E13)</f>
        <v>120000</v>
      </c>
      <c r="G15" t="s">
        <v>377</v>
      </c>
    </row>
    <row r="17" spans="1:13" x14ac:dyDescent="0.3">
      <c r="A17" t="s">
        <v>46</v>
      </c>
      <c r="B17" t="s">
        <v>107</v>
      </c>
      <c r="C17">
        <v>0.1</v>
      </c>
      <c r="D17">
        <v>0.05</v>
      </c>
      <c r="E17">
        <v>0.01</v>
      </c>
      <c r="F17" s="1">
        <f>SUMPRODUCT(C17:E17,C13:E13)</f>
        <v>50000</v>
      </c>
      <c r="G17">
        <f>0.05*1000000</f>
        <v>50000</v>
      </c>
    </row>
    <row r="18" spans="1:13" ht="25.8" customHeight="1" x14ac:dyDescent="0.3">
      <c r="B18" s="27" t="s">
        <v>123</v>
      </c>
      <c r="C18" s="25">
        <f>0.1*G13</f>
        <v>100000</v>
      </c>
      <c r="D18" s="25">
        <f>0.1*G13</f>
        <v>100000</v>
      </c>
      <c r="E18" s="25">
        <f>0.2*G13</f>
        <v>200000</v>
      </c>
    </row>
    <row r="20" spans="1:13" x14ac:dyDescent="0.3">
      <c r="A20" s="4" t="s">
        <v>103</v>
      </c>
      <c r="B20" s="23" t="s">
        <v>408</v>
      </c>
      <c r="C20" s="23"/>
      <c r="D20" s="23"/>
      <c r="E20" s="23"/>
      <c r="F20" s="23"/>
      <c r="G20" s="23"/>
      <c r="H20" s="23"/>
      <c r="I20" s="23"/>
      <c r="J20" s="23"/>
      <c r="K20" s="23"/>
    </row>
    <row r="23" spans="1:13" x14ac:dyDescent="0.3">
      <c r="A23" s="2" t="s">
        <v>112</v>
      </c>
      <c r="B23" t="s">
        <v>66</v>
      </c>
    </row>
    <row r="25" spans="1:13" x14ac:dyDescent="0.3">
      <c r="A25" s="4" t="s">
        <v>103</v>
      </c>
      <c r="B25" s="146" t="s">
        <v>407</v>
      </c>
      <c r="C25" s="146"/>
      <c r="D25" s="146"/>
      <c r="E25" s="146"/>
      <c r="F25" s="146"/>
      <c r="G25" s="146"/>
      <c r="H25" s="146"/>
      <c r="I25" s="146"/>
      <c r="J25" s="146"/>
      <c r="K25" s="146"/>
      <c r="L25" s="146"/>
      <c r="M25" s="146"/>
    </row>
    <row r="26" spans="1:13" x14ac:dyDescent="0.3">
      <c r="B26" s="146"/>
      <c r="C26" s="146"/>
      <c r="D26" s="146"/>
      <c r="E26" s="146"/>
      <c r="F26" s="146"/>
      <c r="G26" s="146"/>
      <c r="H26" s="146"/>
      <c r="I26" s="146"/>
      <c r="J26" s="146"/>
      <c r="K26" s="146"/>
      <c r="L26" s="146"/>
      <c r="M26" s="146"/>
    </row>
    <row r="27" spans="1:13" x14ac:dyDescent="0.3">
      <c r="B27" s="31"/>
      <c r="C27" s="31"/>
      <c r="D27" s="31"/>
      <c r="E27" s="31"/>
      <c r="F27" s="31"/>
      <c r="G27" s="31"/>
      <c r="H27" s="31"/>
      <c r="I27" s="31"/>
      <c r="J27" s="31"/>
      <c r="K27" s="31"/>
      <c r="L27" s="31"/>
      <c r="M27" s="31"/>
    </row>
    <row r="28" spans="1:13" x14ac:dyDescent="0.3">
      <c r="A28" s="28"/>
      <c r="B28" s="11"/>
      <c r="C28" s="11"/>
      <c r="D28" s="11"/>
      <c r="E28" s="11"/>
      <c r="F28" s="11"/>
      <c r="G28" s="11"/>
      <c r="H28" s="11"/>
      <c r="I28" s="11"/>
      <c r="J28" s="13"/>
    </row>
    <row r="29" spans="1:13" x14ac:dyDescent="0.3">
      <c r="A29" s="29"/>
      <c r="B29" s="5" t="s">
        <v>7</v>
      </c>
      <c r="C29" s="6"/>
      <c r="D29" s="6"/>
      <c r="E29" s="6"/>
      <c r="F29" s="6"/>
      <c r="G29" s="6"/>
      <c r="H29" s="6"/>
      <c r="I29" s="6"/>
      <c r="J29" s="14"/>
    </row>
    <row r="30" spans="1:13" x14ac:dyDescent="0.3">
      <c r="A30" s="29"/>
      <c r="B30" s="5" t="s">
        <v>108</v>
      </c>
      <c r="C30" s="6"/>
      <c r="D30" s="6"/>
      <c r="E30" s="6"/>
      <c r="F30" s="6"/>
      <c r="G30" s="6"/>
      <c r="H30" s="6"/>
      <c r="I30" s="6"/>
      <c r="J30" s="14"/>
    </row>
    <row r="31" spans="1:13" x14ac:dyDescent="0.3">
      <c r="A31" s="29"/>
      <c r="B31" s="5" t="s">
        <v>122</v>
      </c>
      <c r="C31" s="6"/>
      <c r="D31" s="6"/>
      <c r="E31" s="6"/>
      <c r="F31" s="6"/>
      <c r="G31" s="6"/>
      <c r="H31" s="6"/>
      <c r="I31" s="6"/>
      <c r="J31" s="14"/>
    </row>
    <row r="32" spans="1:13" x14ac:dyDescent="0.3">
      <c r="A32" s="29"/>
      <c r="B32" s="6"/>
      <c r="C32" s="6"/>
      <c r="D32" s="6"/>
      <c r="E32" s="6"/>
      <c r="F32" s="6"/>
      <c r="G32" s="6"/>
      <c r="H32" s="6"/>
      <c r="I32" s="6"/>
      <c r="J32" s="14"/>
    </row>
    <row r="33" spans="1:10" x14ac:dyDescent="0.3">
      <c r="A33" s="29"/>
      <c r="B33" s="6"/>
      <c r="C33" s="6"/>
      <c r="D33" s="6"/>
      <c r="E33" s="6"/>
      <c r="F33" s="6"/>
      <c r="G33" s="6"/>
      <c r="H33" s="6"/>
      <c r="I33" s="6"/>
      <c r="J33" s="14"/>
    </row>
    <row r="34" spans="1:10" ht="15" thickBot="1" x14ac:dyDescent="0.35">
      <c r="A34" s="29"/>
      <c r="B34" s="6" t="s">
        <v>8</v>
      </c>
      <c r="C34" s="6"/>
      <c r="D34" s="6"/>
      <c r="E34" s="6"/>
      <c r="F34" s="6"/>
      <c r="G34" s="6"/>
      <c r="H34" s="6"/>
      <c r="I34" s="6"/>
      <c r="J34" s="14"/>
    </row>
    <row r="35" spans="1:10" x14ac:dyDescent="0.3">
      <c r="A35" s="29"/>
      <c r="B35" s="6"/>
      <c r="C35" s="7"/>
      <c r="D35" s="7"/>
      <c r="E35" s="7" t="s">
        <v>9</v>
      </c>
      <c r="F35" s="7" t="s">
        <v>10</v>
      </c>
      <c r="G35" s="7" t="s">
        <v>11</v>
      </c>
      <c r="H35" s="7" t="s">
        <v>12</v>
      </c>
      <c r="I35" s="7" t="s">
        <v>12</v>
      </c>
      <c r="J35" s="14"/>
    </row>
    <row r="36" spans="1:10" ht="15" thickBot="1" x14ac:dyDescent="0.35">
      <c r="A36" s="29"/>
      <c r="B36" s="6"/>
      <c r="C36" s="8" t="s">
        <v>13</v>
      </c>
      <c r="D36" s="8" t="s">
        <v>14</v>
      </c>
      <c r="E36" s="8" t="s">
        <v>15</v>
      </c>
      <c r="F36" s="8" t="s">
        <v>16</v>
      </c>
      <c r="G36" s="8" t="s">
        <v>17</v>
      </c>
      <c r="H36" s="8" t="s">
        <v>18</v>
      </c>
      <c r="I36" s="8" t="s">
        <v>19</v>
      </c>
      <c r="J36" s="14"/>
    </row>
    <row r="37" spans="1:10" x14ac:dyDescent="0.3">
      <c r="A37" s="29"/>
      <c r="B37" s="6"/>
      <c r="C37" s="9" t="s">
        <v>400</v>
      </c>
      <c r="D37" s="9" t="s">
        <v>109</v>
      </c>
      <c r="E37" s="9">
        <v>400000</v>
      </c>
      <c r="F37" s="9">
        <v>0</v>
      </c>
      <c r="G37" s="9">
        <v>0.2</v>
      </c>
      <c r="H37" s="9">
        <v>1E+30</v>
      </c>
      <c r="I37" s="9">
        <v>4.9999999999999961E-2</v>
      </c>
      <c r="J37" s="14"/>
    </row>
    <row r="38" spans="1:10" x14ac:dyDescent="0.3">
      <c r="A38" s="29"/>
      <c r="B38" s="6"/>
      <c r="C38" s="9" t="s">
        <v>401</v>
      </c>
      <c r="D38" s="9" t="s">
        <v>110</v>
      </c>
      <c r="E38" s="9">
        <v>100000</v>
      </c>
      <c r="F38" s="9">
        <v>-2.2222222222222216E-2</v>
      </c>
      <c r="G38" s="9">
        <v>0.10000000000000003</v>
      </c>
      <c r="H38" s="9">
        <v>2.2222222222222216E-2</v>
      </c>
      <c r="I38" s="9">
        <v>1E+30</v>
      </c>
      <c r="J38" s="14"/>
    </row>
    <row r="39" spans="1:10" ht="15" thickBot="1" x14ac:dyDescent="0.35">
      <c r="A39" s="29"/>
      <c r="B39" s="6"/>
      <c r="C39" s="10" t="s">
        <v>402</v>
      </c>
      <c r="D39" s="10" t="s">
        <v>111</v>
      </c>
      <c r="E39" s="10">
        <v>500000</v>
      </c>
      <c r="F39" s="10">
        <v>0</v>
      </c>
      <c r="G39" s="10">
        <v>0.06</v>
      </c>
      <c r="H39" s="10">
        <v>0.14000000000000001</v>
      </c>
      <c r="I39" s="10">
        <v>0.04</v>
      </c>
      <c r="J39" s="14"/>
    </row>
    <row r="40" spans="1:10" x14ac:dyDescent="0.3">
      <c r="A40" s="29"/>
      <c r="B40" s="6"/>
      <c r="C40" s="6"/>
      <c r="D40" s="6"/>
      <c r="E40" s="6"/>
      <c r="F40" s="6"/>
      <c r="G40" s="6"/>
      <c r="H40" s="6"/>
      <c r="I40" s="6"/>
      <c r="J40" s="14"/>
    </row>
    <row r="41" spans="1:10" ht="15" thickBot="1" x14ac:dyDescent="0.35">
      <c r="A41" s="29"/>
      <c r="B41" s="6" t="s">
        <v>20</v>
      </c>
      <c r="C41" s="6"/>
      <c r="D41" s="6"/>
      <c r="E41" s="6"/>
      <c r="F41" s="6"/>
      <c r="G41" s="6"/>
      <c r="H41" s="6"/>
      <c r="I41" s="6"/>
      <c r="J41" s="14"/>
    </row>
    <row r="42" spans="1:10" x14ac:dyDescent="0.3">
      <c r="A42" s="29"/>
      <c r="B42" s="6"/>
      <c r="C42" s="7"/>
      <c r="D42" s="7"/>
      <c r="E42" s="7" t="s">
        <v>9</v>
      </c>
      <c r="F42" s="7" t="s">
        <v>21</v>
      </c>
      <c r="G42" s="7" t="s">
        <v>22</v>
      </c>
      <c r="H42" s="7" t="s">
        <v>12</v>
      </c>
      <c r="I42" s="7" t="s">
        <v>12</v>
      </c>
      <c r="J42" s="14"/>
    </row>
    <row r="43" spans="1:10" ht="15" thickBot="1" x14ac:dyDescent="0.35">
      <c r="A43" s="29"/>
      <c r="B43" s="6"/>
      <c r="C43" s="8" t="s">
        <v>13</v>
      </c>
      <c r="D43" s="8" t="s">
        <v>14</v>
      </c>
      <c r="E43" s="8" t="s">
        <v>15</v>
      </c>
      <c r="F43" s="8" t="s">
        <v>23</v>
      </c>
      <c r="G43" s="8" t="s">
        <v>24</v>
      </c>
      <c r="H43" s="8" t="s">
        <v>18</v>
      </c>
      <c r="I43" s="8" t="s">
        <v>19</v>
      </c>
      <c r="J43" s="14"/>
    </row>
    <row r="44" spans="1:10" x14ac:dyDescent="0.3">
      <c r="A44" s="29"/>
      <c r="B44" s="6"/>
      <c r="C44" s="9" t="s">
        <v>403</v>
      </c>
      <c r="D44" s="9" t="s">
        <v>5</v>
      </c>
      <c r="E44" s="9">
        <v>1000000</v>
      </c>
      <c r="F44" s="9">
        <v>4.4444444444444425E-2</v>
      </c>
      <c r="G44" s="9">
        <v>1000000</v>
      </c>
      <c r="H44" s="9">
        <v>2699999.9999999967</v>
      </c>
      <c r="I44" s="9">
        <v>270000</v>
      </c>
      <c r="J44" s="14"/>
    </row>
    <row r="45" spans="1:10" ht="15" thickBot="1" x14ac:dyDescent="0.35">
      <c r="A45" s="29"/>
      <c r="B45" s="6"/>
      <c r="C45" s="10" t="s">
        <v>404</v>
      </c>
      <c r="D45" s="10" t="s">
        <v>107</v>
      </c>
      <c r="E45" s="10">
        <v>50000</v>
      </c>
      <c r="F45" s="10">
        <v>1.5555555555555558</v>
      </c>
      <c r="G45" s="10">
        <v>50000</v>
      </c>
      <c r="H45" s="10">
        <v>27000</v>
      </c>
      <c r="I45" s="10">
        <v>26999.999999999993</v>
      </c>
      <c r="J45" s="14"/>
    </row>
    <row r="46" spans="1:10" x14ac:dyDescent="0.3">
      <c r="A46" s="30"/>
      <c r="B46" s="122"/>
      <c r="C46" s="12"/>
      <c r="D46" s="12"/>
      <c r="E46" s="12"/>
      <c r="F46" s="12"/>
      <c r="G46" s="12"/>
      <c r="H46" s="12"/>
      <c r="I46" s="12"/>
      <c r="J46" s="15"/>
    </row>
  </sheetData>
  <mergeCells count="1">
    <mergeCell ref="B25:M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B150E-E2CE-4C4A-B949-B5DD3CF81DCE}">
  <sheetPr>
    <tabColor theme="9" tint="0.59999389629810485"/>
  </sheetPr>
  <dimension ref="A1:S52"/>
  <sheetViews>
    <sheetView topLeftCell="A21" workbookViewId="0">
      <selection activeCell="D43" sqref="D43"/>
    </sheetView>
  </sheetViews>
  <sheetFormatPr defaultRowHeight="14.4" x14ac:dyDescent="0.3"/>
  <cols>
    <col min="18" max="18" width="11.109375" bestFit="1" customWidth="1"/>
  </cols>
  <sheetData>
    <row r="1" spans="1:7" x14ac:dyDescent="0.3">
      <c r="A1" t="s">
        <v>67</v>
      </c>
    </row>
    <row r="3" spans="1:7" x14ac:dyDescent="0.3">
      <c r="A3" t="s">
        <v>74</v>
      </c>
    </row>
    <row r="4" spans="1:7" x14ac:dyDescent="0.3">
      <c r="A4" t="s">
        <v>75</v>
      </c>
    </row>
    <row r="6" spans="1:7" x14ac:dyDescent="0.3">
      <c r="A6" s="1" t="s">
        <v>68</v>
      </c>
      <c r="B6" s="1">
        <v>2016</v>
      </c>
      <c r="C6" s="1">
        <v>2017</v>
      </c>
      <c r="D6" s="1">
        <v>2018</v>
      </c>
      <c r="E6" s="1">
        <v>2019</v>
      </c>
      <c r="F6" s="1">
        <v>2020</v>
      </c>
    </row>
    <row r="7" spans="1:7" x14ac:dyDescent="0.3">
      <c r="A7" s="1" t="s">
        <v>69</v>
      </c>
      <c r="B7" s="1">
        <v>3500</v>
      </c>
      <c r="C7" s="1">
        <v>4500</v>
      </c>
      <c r="D7" s="1">
        <v>4000</v>
      </c>
      <c r="E7" s="1">
        <v>3450</v>
      </c>
      <c r="F7" s="1">
        <v>4500</v>
      </c>
    </row>
    <row r="10" spans="1:7" x14ac:dyDescent="0.3">
      <c r="A10" t="s">
        <v>70</v>
      </c>
    </row>
    <row r="12" spans="1:7" x14ac:dyDescent="0.3">
      <c r="A12" s="1" t="s">
        <v>71</v>
      </c>
      <c r="B12" s="1">
        <v>2016</v>
      </c>
      <c r="C12" s="1">
        <v>2017</v>
      </c>
      <c r="D12" s="1">
        <v>2018</v>
      </c>
      <c r="E12" s="1">
        <v>2019</v>
      </c>
      <c r="F12" s="1">
        <v>2020</v>
      </c>
      <c r="G12" s="1" t="s">
        <v>72</v>
      </c>
    </row>
    <row r="13" spans="1:7" x14ac:dyDescent="0.3">
      <c r="A13" s="1">
        <v>1</v>
      </c>
      <c r="B13" s="1">
        <v>400</v>
      </c>
      <c r="C13" s="1">
        <v>230</v>
      </c>
      <c r="D13" s="1">
        <v>330</v>
      </c>
      <c r="E13" s="1">
        <v>400</v>
      </c>
      <c r="F13" s="1">
        <v>230</v>
      </c>
      <c r="G13" s="1">
        <v>1500</v>
      </c>
    </row>
    <row r="14" spans="1:7" x14ac:dyDescent="0.3">
      <c r="A14" s="1">
        <v>2</v>
      </c>
      <c r="B14" s="1">
        <v>500</v>
      </c>
      <c r="C14" s="1">
        <v>270</v>
      </c>
      <c r="D14" s="1">
        <v>260</v>
      </c>
      <c r="E14" s="1">
        <v>500</v>
      </c>
      <c r="F14" s="1">
        <v>270</v>
      </c>
      <c r="G14" s="1">
        <v>2000</v>
      </c>
    </row>
    <row r="15" spans="1:7" x14ac:dyDescent="0.3">
      <c r="A15" s="1">
        <v>3</v>
      </c>
      <c r="B15" s="1">
        <v>200</v>
      </c>
      <c r="C15" s="1">
        <v>430</v>
      </c>
      <c r="D15" s="1">
        <v>430</v>
      </c>
      <c r="E15" s="1">
        <v>200</v>
      </c>
      <c r="F15" s="1">
        <v>430</v>
      </c>
      <c r="G15" s="1">
        <v>2500</v>
      </c>
    </row>
    <row r="16" spans="1:7" x14ac:dyDescent="0.3">
      <c r="A16" s="1">
        <v>4</v>
      </c>
      <c r="B16" s="1">
        <v>300</v>
      </c>
      <c r="C16" s="1">
        <v>220</v>
      </c>
      <c r="D16" s="1">
        <v>270</v>
      </c>
      <c r="E16" s="1">
        <v>300</v>
      </c>
      <c r="F16" s="1">
        <v>220</v>
      </c>
      <c r="G16" s="1">
        <v>7000</v>
      </c>
    </row>
    <row r="17" spans="1:7" x14ac:dyDescent="0.3">
      <c r="A17" s="1">
        <v>5</v>
      </c>
      <c r="B17" s="1">
        <v>450</v>
      </c>
      <c r="C17" s="1">
        <v>500</v>
      </c>
      <c r="D17" s="1">
        <v>400</v>
      </c>
      <c r="E17" s="1">
        <v>450</v>
      </c>
      <c r="F17" s="1">
        <v>500</v>
      </c>
      <c r="G17" s="1">
        <v>4000</v>
      </c>
    </row>
    <row r="18" spans="1:7" x14ac:dyDescent="0.3">
      <c r="A18" s="1">
        <v>6</v>
      </c>
      <c r="B18" s="1">
        <v>650</v>
      </c>
      <c r="C18" s="1">
        <v>450</v>
      </c>
      <c r="D18" s="1">
        <v>320</v>
      </c>
      <c r="E18" s="1">
        <v>650</v>
      </c>
      <c r="F18" s="1">
        <v>450</v>
      </c>
      <c r="G18" s="1">
        <v>3000</v>
      </c>
    </row>
    <row r="19" spans="1:7" x14ac:dyDescent="0.3">
      <c r="A19" s="1">
        <v>7</v>
      </c>
      <c r="B19" s="1">
        <v>350</v>
      </c>
      <c r="C19" s="1">
        <v>530</v>
      </c>
      <c r="D19" s="1">
        <v>330</v>
      </c>
      <c r="E19" s="1">
        <v>350</v>
      </c>
      <c r="F19" s="1">
        <v>530</v>
      </c>
      <c r="G19" s="1">
        <v>4500</v>
      </c>
    </row>
    <row r="20" spans="1:7" x14ac:dyDescent="0.3">
      <c r="A20" s="1">
        <v>8</v>
      </c>
      <c r="B20" s="1">
        <v>300</v>
      </c>
      <c r="C20" s="1">
        <v>700</v>
      </c>
      <c r="D20" s="1">
        <v>260</v>
      </c>
      <c r="E20" s="1">
        <v>300</v>
      </c>
      <c r="F20" s="1">
        <v>700</v>
      </c>
      <c r="G20" s="1">
        <v>3500</v>
      </c>
    </row>
    <row r="21" spans="1:7" x14ac:dyDescent="0.3">
      <c r="A21" s="1">
        <v>9</v>
      </c>
      <c r="B21" s="1">
        <v>500</v>
      </c>
      <c r="C21" s="1">
        <v>800</v>
      </c>
      <c r="D21" s="1">
        <v>430</v>
      </c>
      <c r="E21" s="1">
        <v>500</v>
      </c>
      <c r="F21" s="1">
        <v>800</v>
      </c>
      <c r="G21" s="1">
        <v>1500</v>
      </c>
    </row>
    <row r="22" spans="1:7" x14ac:dyDescent="0.3">
      <c r="A22" s="1">
        <v>10</v>
      </c>
      <c r="B22" s="1">
        <v>600</v>
      </c>
      <c r="C22" s="1">
        <v>250</v>
      </c>
      <c r="D22" s="1">
        <v>270</v>
      </c>
      <c r="E22" s="1">
        <v>600</v>
      </c>
      <c r="F22" s="1">
        <v>250</v>
      </c>
      <c r="G22" s="1">
        <v>2000</v>
      </c>
    </row>
    <row r="23" spans="1:7" x14ac:dyDescent="0.3">
      <c r="A23" s="1">
        <v>11</v>
      </c>
      <c r="B23" s="1">
        <v>150</v>
      </c>
      <c r="C23" s="1">
        <v>500</v>
      </c>
      <c r="D23" s="1">
        <v>400</v>
      </c>
      <c r="E23" s="1">
        <v>150</v>
      </c>
      <c r="F23" s="1">
        <v>500</v>
      </c>
      <c r="G23" s="1">
        <v>2500</v>
      </c>
    </row>
    <row r="24" spans="1:7" x14ac:dyDescent="0.3">
      <c r="A24" s="1">
        <v>12</v>
      </c>
      <c r="B24" s="1">
        <v>250</v>
      </c>
      <c r="C24" s="1">
        <v>340</v>
      </c>
      <c r="D24" s="1">
        <v>320</v>
      </c>
      <c r="E24" s="1">
        <v>250</v>
      </c>
      <c r="F24" s="1">
        <v>340</v>
      </c>
      <c r="G24" s="1">
        <v>7000</v>
      </c>
    </row>
    <row r="25" spans="1:7" x14ac:dyDescent="0.3">
      <c r="A25" s="1">
        <v>13</v>
      </c>
      <c r="B25" s="1">
        <v>220</v>
      </c>
      <c r="C25" s="1">
        <v>400</v>
      </c>
      <c r="D25" s="1">
        <v>250</v>
      </c>
      <c r="E25" s="1">
        <v>220</v>
      </c>
      <c r="F25" s="1">
        <v>270</v>
      </c>
      <c r="G25" s="1">
        <v>4000</v>
      </c>
    </row>
    <row r="26" spans="1:7" x14ac:dyDescent="0.3">
      <c r="A26" s="1">
        <v>14</v>
      </c>
      <c r="B26" s="1">
        <v>170</v>
      </c>
      <c r="C26" s="1">
        <v>300</v>
      </c>
      <c r="D26" s="1">
        <v>300</v>
      </c>
      <c r="E26" s="1">
        <v>170</v>
      </c>
      <c r="F26" s="1">
        <v>300</v>
      </c>
      <c r="G26" s="1">
        <v>3000</v>
      </c>
    </row>
    <row r="27" spans="1:7" x14ac:dyDescent="0.3">
      <c r="A27" s="1">
        <v>15</v>
      </c>
      <c r="B27" s="1">
        <v>420</v>
      </c>
      <c r="C27" s="1">
        <v>400</v>
      </c>
      <c r="D27" s="1">
        <v>260</v>
      </c>
      <c r="E27" s="1">
        <v>420</v>
      </c>
      <c r="F27" s="1">
        <v>400</v>
      </c>
      <c r="G27" s="1">
        <v>4500</v>
      </c>
    </row>
    <row r="30" spans="1:7" x14ac:dyDescent="0.3">
      <c r="A30" t="s">
        <v>73</v>
      </c>
    </row>
    <row r="33" spans="1:19" x14ac:dyDescent="0.3">
      <c r="B33" t="s">
        <v>4</v>
      </c>
      <c r="C33">
        <v>1</v>
      </c>
      <c r="D33">
        <v>2</v>
      </c>
      <c r="E33">
        <v>3</v>
      </c>
      <c r="F33">
        <v>4</v>
      </c>
      <c r="G33">
        <v>5</v>
      </c>
      <c r="H33">
        <v>6</v>
      </c>
      <c r="I33">
        <v>7</v>
      </c>
      <c r="J33">
        <v>8</v>
      </c>
      <c r="K33">
        <v>9</v>
      </c>
      <c r="L33">
        <v>10</v>
      </c>
      <c r="M33">
        <v>11</v>
      </c>
      <c r="N33">
        <v>12</v>
      </c>
      <c r="O33">
        <v>13</v>
      </c>
      <c r="P33">
        <v>14</v>
      </c>
      <c r="Q33">
        <v>15</v>
      </c>
    </row>
    <row r="34" spans="1:19" x14ac:dyDescent="0.3">
      <c r="B34" t="s">
        <v>112</v>
      </c>
      <c r="C34" s="66">
        <v>0</v>
      </c>
      <c r="D34" s="66">
        <v>0</v>
      </c>
      <c r="E34" s="3">
        <v>1</v>
      </c>
      <c r="F34" s="3">
        <v>1</v>
      </c>
      <c r="G34" s="3">
        <v>1</v>
      </c>
      <c r="H34" s="3">
        <v>1</v>
      </c>
      <c r="I34" s="3">
        <v>1</v>
      </c>
      <c r="J34" s="3">
        <v>1</v>
      </c>
      <c r="K34" s="66">
        <v>0</v>
      </c>
      <c r="L34" s="66">
        <v>0</v>
      </c>
      <c r="M34" s="66">
        <v>0</v>
      </c>
      <c r="N34" s="3">
        <v>1</v>
      </c>
      <c r="O34" s="3">
        <v>1</v>
      </c>
      <c r="P34" s="3">
        <v>1</v>
      </c>
      <c r="Q34" s="3">
        <v>1</v>
      </c>
    </row>
    <row r="36" spans="1:19" x14ac:dyDescent="0.3">
      <c r="A36" t="s">
        <v>2</v>
      </c>
      <c r="B36" t="s">
        <v>6</v>
      </c>
      <c r="C36">
        <v>1500</v>
      </c>
      <c r="D36">
        <v>2000</v>
      </c>
      <c r="E36">
        <v>2500</v>
      </c>
      <c r="F36">
        <v>7000</v>
      </c>
      <c r="G36">
        <v>4000</v>
      </c>
      <c r="H36">
        <v>3000</v>
      </c>
      <c r="I36">
        <v>4500</v>
      </c>
      <c r="J36">
        <v>3500</v>
      </c>
      <c r="K36">
        <v>1500</v>
      </c>
      <c r="L36">
        <v>2000</v>
      </c>
      <c r="M36">
        <v>2500</v>
      </c>
      <c r="N36">
        <v>7000</v>
      </c>
      <c r="O36">
        <v>4000</v>
      </c>
      <c r="P36">
        <v>3000</v>
      </c>
      <c r="Q36">
        <v>4500</v>
      </c>
      <c r="R36" s="33">
        <f>SUMPRODUCT(C36:Q36,C34:Q34)</f>
        <v>43000</v>
      </c>
      <c r="S36" t="s">
        <v>72</v>
      </c>
    </row>
    <row r="38" spans="1:19" x14ac:dyDescent="0.3">
      <c r="A38" t="s">
        <v>46</v>
      </c>
      <c r="B38" t="s">
        <v>113</v>
      </c>
      <c r="C38">
        <v>2016</v>
      </c>
      <c r="D38" s="1">
        <f>SUMPRODUCT(C46:Q46,$C$34:$Q$34)</f>
        <v>3310</v>
      </c>
      <c r="E38">
        <v>3500</v>
      </c>
    </row>
    <row r="39" spans="1:19" x14ac:dyDescent="0.3">
      <c r="C39">
        <v>2017</v>
      </c>
      <c r="D39" s="1">
        <f>SUMPRODUCT(C47:Q47,$C$34:$Q$34)</f>
        <v>4270</v>
      </c>
      <c r="E39">
        <v>4500</v>
      </c>
    </row>
    <row r="40" spans="1:19" x14ac:dyDescent="0.3">
      <c r="C40">
        <v>2018</v>
      </c>
      <c r="D40" s="1">
        <f t="shared" ref="D40:D42" si="0">SUMPRODUCT(C48:Q48,$C$34:$Q$34)</f>
        <v>3140</v>
      </c>
      <c r="E40">
        <v>4000</v>
      </c>
    </row>
    <row r="41" spans="1:19" x14ac:dyDescent="0.3">
      <c r="C41">
        <v>2019</v>
      </c>
      <c r="D41" s="1">
        <f t="shared" si="0"/>
        <v>3310</v>
      </c>
      <c r="E41">
        <v>3450</v>
      </c>
    </row>
    <row r="42" spans="1:19" x14ac:dyDescent="0.3">
      <c r="C42">
        <v>2020</v>
      </c>
      <c r="D42" s="1">
        <f t="shared" si="0"/>
        <v>4140</v>
      </c>
      <c r="E42">
        <v>4500</v>
      </c>
    </row>
    <row r="45" spans="1:19" x14ac:dyDescent="0.3">
      <c r="B45" s="1" t="s">
        <v>71</v>
      </c>
      <c r="C45" s="1">
        <v>1</v>
      </c>
      <c r="D45" s="1">
        <v>2</v>
      </c>
      <c r="E45" s="1">
        <v>3</v>
      </c>
      <c r="F45" s="1">
        <v>4</v>
      </c>
      <c r="G45" s="1">
        <v>5</v>
      </c>
      <c r="H45" s="1">
        <v>6</v>
      </c>
      <c r="I45" s="1">
        <v>7</v>
      </c>
      <c r="J45" s="1">
        <v>8</v>
      </c>
      <c r="K45" s="1">
        <v>9</v>
      </c>
      <c r="L45" s="1">
        <v>10</v>
      </c>
      <c r="M45" s="1">
        <v>11</v>
      </c>
      <c r="N45" s="1">
        <v>12</v>
      </c>
      <c r="O45" s="1">
        <v>13</v>
      </c>
      <c r="P45" s="1">
        <v>14</v>
      </c>
      <c r="Q45" s="1">
        <v>15</v>
      </c>
    </row>
    <row r="46" spans="1:19" x14ac:dyDescent="0.3">
      <c r="B46" s="1">
        <v>2016</v>
      </c>
      <c r="C46" s="1">
        <v>400</v>
      </c>
      <c r="D46" s="1">
        <v>500</v>
      </c>
      <c r="E46" s="1">
        <v>200</v>
      </c>
      <c r="F46" s="1">
        <v>300</v>
      </c>
      <c r="G46" s="1">
        <v>450</v>
      </c>
      <c r="H46" s="1">
        <v>650</v>
      </c>
      <c r="I46" s="1">
        <v>350</v>
      </c>
      <c r="J46" s="1">
        <v>300</v>
      </c>
      <c r="K46" s="1">
        <v>500</v>
      </c>
      <c r="L46" s="1">
        <v>600</v>
      </c>
      <c r="M46" s="1">
        <v>150</v>
      </c>
      <c r="N46" s="1">
        <v>250</v>
      </c>
      <c r="O46" s="1">
        <v>220</v>
      </c>
      <c r="P46" s="1">
        <v>170</v>
      </c>
      <c r="Q46" s="1">
        <v>420</v>
      </c>
    </row>
    <row r="47" spans="1:19" x14ac:dyDescent="0.3">
      <c r="B47" s="1">
        <v>2017</v>
      </c>
      <c r="C47" s="1">
        <v>230</v>
      </c>
      <c r="D47" s="1">
        <v>270</v>
      </c>
      <c r="E47" s="1">
        <v>430</v>
      </c>
      <c r="F47" s="1">
        <v>220</v>
      </c>
      <c r="G47" s="1">
        <v>500</v>
      </c>
      <c r="H47" s="1">
        <v>450</v>
      </c>
      <c r="I47" s="1">
        <v>530</v>
      </c>
      <c r="J47" s="1">
        <v>700</v>
      </c>
      <c r="K47" s="1">
        <v>800</v>
      </c>
      <c r="L47" s="1">
        <v>250</v>
      </c>
      <c r="M47" s="1">
        <v>500</v>
      </c>
      <c r="N47" s="1">
        <v>340</v>
      </c>
      <c r="O47" s="1">
        <v>400</v>
      </c>
      <c r="P47" s="1">
        <v>300</v>
      </c>
      <c r="Q47" s="1">
        <v>400</v>
      </c>
    </row>
    <row r="48" spans="1:19" x14ac:dyDescent="0.3">
      <c r="B48" s="1">
        <v>2018</v>
      </c>
      <c r="C48" s="1">
        <v>330</v>
      </c>
      <c r="D48" s="1">
        <v>260</v>
      </c>
      <c r="E48" s="1">
        <v>430</v>
      </c>
      <c r="F48" s="1">
        <v>270</v>
      </c>
      <c r="G48" s="1">
        <v>400</v>
      </c>
      <c r="H48" s="1">
        <v>320</v>
      </c>
      <c r="I48" s="1">
        <v>330</v>
      </c>
      <c r="J48" s="1">
        <v>260</v>
      </c>
      <c r="K48" s="1">
        <v>430</v>
      </c>
      <c r="L48" s="1">
        <v>270</v>
      </c>
      <c r="M48" s="1">
        <v>400</v>
      </c>
      <c r="N48" s="1">
        <v>320</v>
      </c>
      <c r="O48" s="1">
        <v>250</v>
      </c>
      <c r="P48" s="1">
        <v>300</v>
      </c>
      <c r="Q48" s="1">
        <v>260</v>
      </c>
    </row>
    <row r="49" spans="1:18" x14ac:dyDescent="0.3">
      <c r="B49" s="1">
        <v>2019</v>
      </c>
      <c r="C49" s="1">
        <v>400</v>
      </c>
      <c r="D49" s="1">
        <v>500</v>
      </c>
      <c r="E49" s="1">
        <v>200</v>
      </c>
      <c r="F49" s="1">
        <v>300</v>
      </c>
      <c r="G49" s="1">
        <v>450</v>
      </c>
      <c r="H49" s="1">
        <v>650</v>
      </c>
      <c r="I49" s="1">
        <v>350</v>
      </c>
      <c r="J49" s="1">
        <v>300</v>
      </c>
      <c r="K49" s="1">
        <v>500</v>
      </c>
      <c r="L49" s="1">
        <v>600</v>
      </c>
      <c r="M49" s="1">
        <v>150</v>
      </c>
      <c r="N49" s="1">
        <v>250</v>
      </c>
      <c r="O49" s="1">
        <v>220</v>
      </c>
      <c r="P49" s="1">
        <v>170</v>
      </c>
      <c r="Q49" s="1">
        <v>420</v>
      </c>
    </row>
    <row r="50" spans="1:18" x14ac:dyDescent="0.3">
      <c r="B50" s="1">
        <v>2020</v>
      </c>
      <c r="C50" s="1">
        <v>230</v>
      </c>
      <c r="D50" s="1">
        <v>270</v>
      </c>
      <c r="E50" s="1">
        <v>430</v>
      </c>
      <c r="F50" s="1">
        <v>220</v>
      </c>
      <c r="G50" s="1">
        <v>500</v>
      </c>
      <c r="H50" s="1">
        <v>450</v>
      </c>
      <c r="I50" s="1">
        <v>530</v>
      </c>
      <c r="J50" s="1">
        <v>700</v>
      </c>
      <c r="K50" s="1">
        <v>800</v>
      </c>
      <c r="L50" s="1">
        <v>250</v>
      </c>
      <c r="M50" s="1">
        <v>500</v>
      </c>
      <c r="N50" s="1">
        <v>340</v>
      </c>
      <c r="O50" s="1">
        <v>270</v>
      </c>
      <c r="P50" s="1">
        <v>300</v>
      </c>
      <c r="Q50" s="1">
        <v>400</v>
      </c>
    </row>
    <row r="52" spans="1:18" x14ac:dyDescent="0.3">
      <c r="A52" s="4" t="s">
        <v>3</v>
      </c>
      <c r="B52" s="23" t="s">
        <v>409</v>
      </c>
      <c r="C52" s="23"/>
      <c r="D52" s="23"/>
      <c r="E52" s="23"/>
      <c r="F52" s="23"/>
      <c r="G52" s="23"/>
      <c r="H52" s="23"/>
      <c r="I52" s="23"/>
      <c r="J52" s="23"/>
      <c r="K52" s="23"/>
      <c r="L52" s="23"/>
      <c r="M52" s="23"/>
      <c r="N52" s="23"/>
      <c r="O52" s="23"/>
      <c r="P52" s="23"/>
      <c r="Q52" s="23"/>
      <c r="R5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17B71-A1C4-41DE-847E-DA508FBEA76E}">
  <sheetPr>
    <tabColor theme="7" tint="0.59999389629810485"/>
  </sheetPr>
  <dimension ref="A1:M36"/>
  <sheetViews>
    <sheetView workbookViewId="0">
      <selection activeCell="L26" sqref="L26"/>
    </sheetView>
  </sheetViews>
  <sheetFormatPr defaultRowHeight="14.4" x14ac:dyDescent="0.3"/>
  <cols>
    <col min="2" max="2" width="11" customWidth="1"/>
    <col min="5" max="5" width="11.109375" bestFit="1" customWidth="1"/>
  </cols>
  <sheetData>
    <row r="1" spans="1:1" x14ac:dyDescent="0.3">
      <c r="A1" t="s">
        <v>76</v>
      </c>
    </row>
    <row r="3" spans="1:1" x14ac:dyDescent="0.3">
      <c r="A3" t="s">
        <v>77</v>
      </c>
    </row>
    <row r="5" spans="1:1" x14ac:dyDescent="0.3">
      <c r="A5" t="s">
        <v>78</v>
      </c>
    </row>
    <row r="7" spans="1:1" x14ac:dyDescent="0.3">
      <c r="A7" t="s">
        <v>83</v>
      </c>
    </row>
    <row r="8" spans="1:1" x14ac:dyDescent="0.3">
      <c r="A8" t="s">
        <v>84</v>
      </c>
    </row>
    <row r="9" spans="1:1" x14ac:dyDescent="0.3">
      <c r="A9" t="s">
        <v>79</v>
      </c>
    </row>
    <row r="11" spans="1:1" x14ac:dyDescent="0.3">
      <c r="A11" t="s">
        <v>80</v>
      </c>
    </row>
    <row r="12" spans="1:1" x14ac:dyDescent="0.3">
      <c r="A12" t="s">
        <v>81</v>
      </c>
    </row>
    <row r="14" spans="1:1" x14ac:dyDescent="0.3">
      <c r="A14" t="s">
        <v>82</v>
      </c>
    </row>
    <row r="17" spans="1:7" x14ac:dyDescent="0.3">
      <c r="B17" t="s">
        <v>4</v>
      </c>
      <c r="C17" t="s">
        <v>114</v>
      </c>
      <c r="D17" t="s">
        <v>115</v>
      </c>
    </row>
    <row r="18" spans="1:7" x14ac:dyDescent="0.3">
      <c r="B18" t="s">
        <v>205</v>
      </c>
      <c r="C18" s="3">
        <v>312</v>
      </c>
      <c r="D18" s="3">
        <v>400</v>
      </c>
      <c r="E18">
        <f>SUM(C18:D18)</f>
        <v>712</v>
      </c>
    </row>
    <row r="20" spans="1:7" x14ac:dyDescent="0.3">
      <c r="A20" t="s">
        <v>106</v>
      </c>
      <c r="B20" t="s">
        <v>416</v>
      </c>
      <c r="C20">
        <v>18</v>
      </c>
      <c r="D20">
        <v>18</v>
      </c>
      <c r="E20" s="125">
        <f>SUMPRODUCT(C20:D20,C18:D18)</f>
        <v>12816</v>
      </c>
      <c r="F20" t="s">
        <v>207</v>
      </c>
    </row>
    <row r="21" spans="1:7" x14ac:dyDescent="0.3">
      <c r="B21" t="s">
        <v>206</v>
      </c>
      <c r="C21">
        <f>C18/25</f>
        <v>12.48</v>
      </c>
      <c r="D21">
        <f>D18/40</f>
        <v>10</v>
      </c>
    </row>
    <row r="22" spans="1:7" x14ac:dyDescent="0.3">
      <c r="A22" t="s">
        <v>120</v>
      </c>
      <c r="C22">
        <v>50</v>
      </c>
      <c r="D22">
        <v>75</v>
      </c>
      <c r="E22" s="32">
        <f>SUMPRODUCT(C22:D22,C21:D21)</f>
        <v>1374</v>
      </c>
    </row>
    <row r="23" spans="1:7" x14ac:dyDescent="0.3">
      <c r="A23" t="s">
        <v>119</v>
      </c>
      <c r="E23" s="32">
        <f>6*E26</f>
        <v>5995.2000000000007</v>
      </c>
    </row>
    <row r="24" spans="1:7" x14ac:dyDescent="0.3">
      <c r="A24" s="24" t="s">
        <v>72</v>
      </c>
      <c r="B24" s="24"/>
      <c r="C24" s="24"/>
      <c r="D24" s="24"/>
      <c r="E24" s="126">
        <f>E20-E22-E23</f>
        <v>5446.7999999999993</v>
      </c>
      <c r="G24" t="s">
        <v>417</v>
      </c>
    </row>
    <row r="26" spans="1:7" x14ac:dyDescent="0.3">
      <c r="A26" t="s">
        <v>46</v>
      </c>
      <c r="B26" t="s">
        <v>118</v>
      </c>
      <c r="C26">
        <v>40</v>
      </c>
      <c r="D26">
        <v>50</v>
      </c>
      <c r="E26" s="1">
        <f>SUMPRODUCT(C26:D26,C21:D21)</f>
        <v>999.2</v>
      </c>
      <c r="F26">
        <v>1000</v>
      </c>
    </row>
    <row r="27" spans="1:7" x14ac:dyDescent="0.3">
      <c r="B27" t="s">
        <v>116</v>
      </c>
      <c r="C27">
        <v>15</v>
      </c>
      <c r="D27">
        <v>10</v>
      </c>
      <c r="E27" t="s">
        <v>125</v>
      </c>
    </row>
    <row r="28" spans="1:7" x14ac:dyDescent="0.3">
      <c r="B28" t="s">
        <v>116</v>
      </c>
      <c r="C28">
        <v>5</v>
      </c>
      <c r="D28">
        <v>5</v>
      </c>
      <c r="E28" t="s">
        <v>126</v>
      </c>
    </row>
    <row r="32" spans="1:7" x14ac:dyDescent="0.3">
      <c r="A32" t="s">
        <v>124</v>
      </c>
      <c r="E32" s="32">
        <f>E20</f>
        <v>12816</v>
      </c>
    </row>
    <row r="33" spans="1:13" x14ac:dyDescent="0.3">
      <c r="A33" t="s">
        <v>121</v>
      </c>
      <c r="E33" s="33">
        <f>E32-E23-E22</f>
        <v>5446.7999999999993</v>
      </c>
    </row>
    <row r="35" spans="1:13" x14ac:dyDescent="0.3">
      <c r="A35" s="4" t="s">
        <v>103</v>
      </c>
      <c r="B35" s="145" t="s">
        <v>418</v>
      </c>
      <c r="C35" s="145"/>
      <c r="D35" s="145"/>
      <c r="E35" s="145"/>
      <c r="F35" s="145"/>
      <c r="G35" s="145"/>
      <c r="H35" s="145"/>
      <c r="I35" s="145"/>
      <c r="J35" s="145"/>
      <c r="K35" s="145"/>
      <c r="L35" s="145"/>
      <c r="M35" s="145"/>
    </row>
    <row r="36" spans="1:13" x14ac:dyDescent="0.3">
      <c r="B36" s="145"/>
      <c r="C36" s="145"/>
      <c r="D36" s="145"/>
      <c r="E36" s="145"/>
      <c r="F36" s="145"/>
      <c r="G36" s="145"/>
      <c r="H36" s="145"/>
      <c r="I36" s="145"/>
      <c r="J36" s="145"/>
      <c r="K36" s="145"/>
      <c r="L36" s="145"/>
      <c r="M36" s="145"/>
    </row>
  </sheetData>
  <mergeCells count="1">
    <mergeCell ref="B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27C8-31D9-41E1-9D63-DADC14440737}">
  <sheetPr>
    <tabColor theme="7" tint="0.59999389629810485"/>
  </sheetPr>
  <dimension ref="A1:L44"/>
  <sheetViews>
    <sheetView topLeftCell="A20" workbookViewId="0">
      <selection activeCell="F46" sqref="F46"/>
    </sheetView>
  </sheetViews>
  <sheetFormatPr defaultRowHeight="14.4" x14ac:dyDescent="0.3"/>
  <cols>
    <col min="1" max="1" width="14.33203125" customWidth="1"/>
    <col min="2" max="2" width="15.5546875" bestFit="1" customWidth="1"/>
    <col min="3" max="3" width="14.33203125" customWidth="1"/>
    <col min="4" max="4" width="13.109375" customWidth="1"/>
    <col min="5" max="5" width="13.77734375" customWidth="1"/>
  </cols>
  <sheetData>
    <row r="1" spans="1:3" x14ac:dyDescent="0.3">
      <c r="A1" t="s">
        <v>324</v>
      </c>
    </row>
    <row r="2" spans="1:3" x14ac:dyDescent="0.3">
      <c r="A2" t="s">
        <v>325</v>
      </c>
    </row>
    <row r="3" spans="1:3" x14ac:dyDescent="0.3">
      <c r="A3" t="s">
        <v>326</v>
      </c>
    </row>
    <row r="5" spans="1:3" x14ac:dyDescent="0.3">
      <c r="A5" s="1" t="s">
        <v>301</v>
      </c>
      <c r="B5" s="1" t="s">
        <v>302</v>
      </c>
      <c r="C5" s="1" t="s">
        <v>303</v>
      </c>
    </row>
    <row r="6" spans="1:3" x14ac:dyDescent="0.3">
      <c r="A6" s="1" t="s">
        <v>304</v>
      </c>
      <c r="B6" s="1">
        <v>32</v>
      </c>
      <c r="C6" s="1">
        <v>40</v>
      </c>
    </row>
    <row r="7" spans="1:3" x14ac:dyDescent="0.3">
      <c r="A7" s="1" t="s">
        <v>305</v>
      </c>
      <c r="B7" s="1">
        <v>44</v>
      </c>
      <c r="C7" s="1">
        <v>54</v>
      </c>
    </row>
    <row r="8" spans="1:3" x14ac:dyDescent="0.3">
      <c r="A8" s="1" t="s">
        <v>306</v>
      </c>
      <c r="B8" s="1">
        <v>0</v>
      </c>
      <c r="C8" s="1">
        <v>175</v>
      </c>
    </row>
    <row r="9" spans="1:3" x14ac:dyDescent="0.3">
      <c r="A9" s="1" t="s">
        <v>307</v>
      </c>
      <c r="B9" s="1">
        <v>0</v>
      </c>
      <c r="C9" s="1">
        <v>225</v>
      </c>
    </row>
    <row r="11" spans="1:3" x14ac:dyDescent="0.3">
      <c r="A11" t="s">
        <v>308</v>
      </c>
    </row>
    <row r="13" spans="1:3" x14ac:dyDescent="0.3">
      <c r="A13" s="1" t="s">
        <v>309</v>
      </c>
      <c r="B13" s="1" t="s">
        <v>310</v>
      </c>
      <c r="C13" s="1" t="s">
        <v>311</v>
      </c>
    </row>
    <row r="14" spans="1:3" x14ac:dyDescent="0.3">
      <c r="A14" s="1">
        <v>1</v>
      </c>
      <c r="B14" s="1">
        <v>6</v>
      </c>
      <c r="C14" s="1">
        <v>0</v>
      </c>
    </row>
    <row r="15" spans="1:3" x14ac:dyDescent="0.3">
      <c r="A15" s="1">
        <v>2</v>
      </c>
      <c r="B15" s="1">
        <v>3</v>
      </c>
      <c r="C15" s="1">
        <v>2</v>
      </c>
    </row>
    <row r="16" spans="1:3" x14ac:dyDescent="0.3">
      <c r="A16" s="1">
        <v>3</v>
      </c>
      <c r="B16" s="1">
        <v>5</v>
      </c>
      <c r="C16" s="1">
        <v>4</v>
      </c>
    </row>
    <row r="17" spans="1:5" x14ac:dyDescent="0.3">
      <c r="A17" s="1">
        <v>4</v>
      </c>
      <c r="B17" s="1">
        <v>8</v>
      </c>
      <c r="C17" s="1">
        <v>3</v>
      </c>
    </row>
    <row r="18" spans="1:5" x14ac:dyDescent="0.3">
      <c r="A18" s="1">
        <v>5</v>
      </c>
      <c r="B18" s="1">
        <v>2</v>
      </c>
      <c r="C18" s="1">
        <v>1</v>
      </c>
    </row>
    <row r="19" spans="1:5" x14ac:dyDescent="0.3">
      <c r="A19" s="1">
        <v>6</v>
      </c>
      <c r="B19" s="1">
        <v>4</v>
      </c>
      <c r="C19" s="1">
        <v>4</v>
      </c>
    </row>
    <row r="20" spans="1:5" x14ac:dyDescent="0.3">
      <c r="A20" s="1">
        <v>7</v>
      </c>
      <c r="B20" s="1">
        <v>1</v>
      </c>
      <c r="C20" s="1">
        <v>2</v>
      </c>
    </row>
    <row r="22" spans="1:5" x14ac:dyDescent="0.3">
      <c r="A22" t="s">
        <v>312</v>
      </c>
    </row>
    <row r="23" spans="1:5" x14ac:dyDescent="0.3">
      <c r="A23" s="4"/>
    </row>
    <row r="25" spans="1:5" x14ac:dyDescent="0.3">
      <c r="B25" s="24" t="s">
        <v>218</v>
      </c>
      <c r="C25" t="s">
        <v>381</v>
      </c>
      <c r="D25" t="s">
        <v>382</v>
      </c>
    </row>
    <row r="26" spans="1:5" x14ac:dyDescent="0.3">
      <c r="B26" t="s">
        <v>208</v>
      </c>
      <c r="C26" s="3">
        <v>5</v>
      </c>
      <c r="D26" s="3">
        <v>4</v>
      </c>
    </row>
    <row r="28" spans="1:5" x14ac:dyDescent="0.3">
      <c r="A28" t="s">
        <v>2</v>
      </c>
      <c r="B28" t="s">
        <v>209</v>
      </c>
      <c r="C28" s="24" t="s">
        <v>397</v>
      </c>
      <c r="D28" s="97">
        <f>E29+E30+E32+E33</f>
        <v>4674</v>
      </c>
    </row>
    <row r="29" spans="1:5" x14ac:dyDescent="0.3">
      <c r="B29" s="1" t="s">
        <v>302</v>
      </c>
      <c r="C29" s="1">
        <v>32</v>
      </c>
      <c r="D29" s="1">
        <v>44</v>
      </c>
      <c r="E29" s="24">
        <f>7*SUMPRODUCT(C26:D26,C29:D29)</f>
        <v>2352</v>
      </c>
    </row>
    <row r="30" spans="1:5" x14ac:dyDescent="0.3">
      <c r="B30" s="1" t="s">
        <v>303</v>
      </c>
      <c r="C30" s="1">
        <v>40</v>
      </c>
      <c r="D30" s="1">
        <v>54</v>
      </c>
      <c r="E30" s="24">
        <f>C30*SUM(E36:E42)+D30*SUM(I36:I42,G36:G42)</f>
        <v>1972</v>
      </c>
    </row>
    <row r="31" spans="1:5" x14ac:dyDescent="0.3">
      <c r="C31" t="s">
        <v>393</v>
      </c>
      <c r="D31" t="s">
        <v>394</v>
      </c>
    </row>
    <row r="32" spans="1:5" x14ac:dyDescent="0.3">
      <c r="B32" s="1" t="s">
        <v>302</v>
      </c>
      <c r="C32" s="1">
        <v>0</v>
      </c>
      <c r="D32" s="1">
        <v>0</v>
      </c>
      <c r="E32" s="24">
        <f>C32*SUM(F36:F42)*7+D32*SUM(K36:K42)*7</f>
        <v>0</v>
      </c>
    </row>
    <row r="33" spans="1:12" x14ac:dyDescent="0.3">
      <c r="B33" s="1" t="s">
        <v>303</v>
      </c>
      <c r="C33" s="1">
        <v>175</v>
      </c>
      <c r="D33" s="1">
        <v>225</v>
      </c>
      <c r="E33" s="24">
        <f>C33*SUM(F36:F42)+D33*SUM(K36:K42)</f>
        <v>350</v>
      </c>
    </row>
    <row r="34" spans="1:12" ht="15" thickBot="1" x14ac:dyDescent="0.35"/>
    <row r="35" spans="1:12" ht="15" thickBot="1" x14ac:dyDescent="0.35">
      <c r="B35" s="37" t="s">
        <v>309</v>
      </c>
      <c r="C35" s="41" t="s">
        <v>389</v>
      </c>
      <c r="D35" s="107" t="s">
        <v>390</v>
      </c>
      <c r="E35" s="119" t="s">
        <v>391</v>
      </c>
      <c r="F35" s="120" t="s">
        <v>383</v>
      </c>
      <c r="G35" s="121" t="s">
        <v>398</v>
      </c>
      <c r="H35" s="110" t="s">
        <v>395</v>
      </c>
      <c r="I35" s="119" t="s">
        <v>392</v>
      </c>
      <c r="J35" s="120" t="s">
        <v>384</v>
      </c>
      <c r="K35" s="121" t="s">
        <v>385</v>
      </c>
      <c r="L35" s="41" t="s">
        <v>396</v>
      </c>
    </row>
    <row r="36" spans="1:12" x14ac:dyDescent="0.3">
      <c r="B36" s="37">
        <v>1</v>
      </c>
      <c r="C36" s="117">
        <v>6</v>
      </c>
      <c r="D36" s="118">
        <v>0</v>
      </c>
      <c r="E36" s="80">
        <f>IF(C36&gt;$C$26,$C$26,C36)</f>
        <v>5</v>
      </c>
      <c r="F36" s="1">
        <f>IF(SUM(E36,G36)&lt;C36,C36-E36-G36,0)</f>
        <v>0</v>
      </c>
      <c r="G36" s="113">
        <f>IF((C36-E36)&lt;=J36,C36-E36,J36)</f>
        <v>1</v>
      </c>
      <c r="H36" s="114">
        <f>SUM(E36:G36)</f>
        <v>6</v>
      </c>
      <c r="I36" s="80">
        <f>IF(D36&gt;$D$26,$D$26,D36)</f>
        <v>0</v>
      </c>
      <c r="J36" s="1">
        <f>IF(I36&lt;$D$26,$D$26-I36,0)</f>
        <v>4</v>
      </c>
      <c r="K36" s="37">
        <f>IF(I36&lt;D36,D36-I36,0)</f>
        <v>0</v>
      </c>
      <c r="L36" s="111">
        <f>SUM(I36+K36)</f>
        <v>0</v>
      </c>
    </row>
    <row r="37" spans="1:12" x14ac:dyDescent="0.3">
      <c r="B37" s="37">
        <v>2</v>
      </c>
      <c r="C37" s="45">
        <v>3</v>
      </c>
      <c r="D37" s="46">
        <v>2</v>
      </c>
      <c r="E37" s="80">
        <f t="shared" ref="E37:E42" si="0">IF(C37&gt;$C$26,$C$26,C37)</f>
        <v>3</v>
      </c>
      <c r="F37" s="1">
        <f t="shared" ref="F37:F41" si="1">IF(SUM(E37,G37)&lt;C37,C37-E37-G37,0)</f>
        <v>0</v>
      </c>
      <c r="G37" s="113">
        <f t="shared" ref="G37:G41" si="2">IF((C37-E37)&lt;=J37,C37-E37,J37)</f>
        <v>0</v>
      </c>
      <c r="H37" s="115">
        <f t="shared" ref="H37:H42" si="3">SUM(E37:G37)</f>
        <v>3</v>
      </c>
      <c r="I37" s="80">
        <f t="shared" ref="I37:I42" si="4">IF(D37&gt;$D$26,$D$26,D37)</f>
        <v>2</v>
      </c>
      <c r="J37" s="1">
        <f t="shared" ref="J37:J41" si="5">IF(I37&lt;$D$26,$D$26-I37,0)</f>
        <v>2</v>
      </c>
      <c r="K37" s="37">
        <f>IF(I37&lt;D37,D37-I37,0)</f>
        <v>0</v>
      </c>
      <c r="L37" s="111">
        <f t="shared" ref="L37:L42" si="6">SUM(I37+K37)</f>
        <v>2</v>
      </c>
    </row>
    <row r="38" spans="1:12" x14ac:dyDescent="0.3">
      <c r="B38" s="37">
        <v>3</v>
      </c>
      <c r="C38" s="45">
        <v>5</v>
      </c>
      <c r="D38" s="46">
        <v>4</v>
      </c>
      <c r="E38" s="80">
        <f t="shared" si="0"/>
        <v>5</v>
      </c>
      <c r="F38" s="1">
        <f t="shared" si="1"/>
        <v>0</v>
      </c>
      <c r="G38" s="113">
        <f t="shared" si="2"/>
        <v>0</v>
      </c>
      <c r="H38" s="115">
        <f t="shared" si="3"/>
        <v>5</v>
      </c>
      <c r="I38" s="80">
        <f t="shared" si="4"/>
        <v>4</v>
      </c>
      <c r="J38" s="1">
        <f t="shared" si="5"/>
        <v>0</v>
      </c>
      <c r="K38" s="37">
        <f t="shared" ref="K38:K42" si="7">IF(I38&lt;D38,D38-I38,0)</f>
        <v>0</v>
      </c>
      <c r="L38" s="111">
        <f t="shared" si="6"/>
        <v>4</v>
      </c>
    </row>
    <row r="39" spans="1:12" x14ac:dyDescent="0.3">
      <c r="B39" s="37">
        <v>4</v>
      </c>
      <c r="C39" s="45">
        <v>8</v>
      </c>
      <c r="D39" s="46">
        <v>3</v>
      </c>
      <c r="E39" s="80">
        <f t="shared" si="0"/>
        <v>5</v>
      </c>
      <c r="F39" s="1">
        <f t="shared" si="1"/>
        <v>2</v>
      </c>
      <c r="G39" s="113">
        <f t="shared" si="2"/>
        <v>1</v>
      </c>
      <c r="H39" s="115">
        <f t="shared" si="3"/>
        <v>8</v>
      </c>
      <c r="I39" s="80">
        <f t="shared" si="4"/>
        <v>3</v>
      </c>
      <c r="J39" s="1">
        <f t="shared" si="5"/>
        <v>1</v>
      </c>
      <c r="K39" s="37">
        <f t="shared" si="7"/>
        <v>0</v>
      </c>
      <c r="L39" s="111">
        <f t="shared" si="6"/>
        <v>3</v>
      </c>
    </row>
    <row r="40" spans="1:12" x14ac:dyDescent="0.3">
      <c r="B40" s="37">
        <v>5</v>
      </c>
      <c r="C40" s="45">
        <v>2</v>
      </c>
      <c r="D40" s="46">
        <v>1</v>
      </c>
      <c r="E40" s="80">
        <f t="shared" si="0"/>
        <v>2</v>
      </c>
      <c r="F40" s="1">
        <f>IF(SUM(E40,G40)&lt;C40,C40-E40-G40,0)</f>
        <v>0</v>
      </c>
      <c r="G40" s="113">
        <f t="shared" si="2"/>
        <v>0</v>
      </c>
      <c r="H40" s="115">
        <f t="shared" si="3"/>
        <v>2</v>
      </c>
      <c r="I40" s="80">
        <f t="shared" si="4"/>
        <v>1</v>
      </c>
      <c r="J40" s="1">
        <f t="shared" si="5"/>
        <v>3</v>
      </c>
      <c r="K40" s="37">
        <f t="shared" si="7"/>
        <v>0</v>
      </c>
      <c r="L40" s="111">
        <f t="shared" si="6"/>
        <v>1</v>
      </c>
    </row>
    <row r="41" spans="1:12" x14ac:dyDescent="0.3">
      <c r="B41" s="37">
        <v>6</v>
      </c>
      <c r="C41" s="45">
        <v>4</v>
      </c>
      <c r="D41" s="46">
        <v>4</v>
      </c>
      <c r="E41" s="80">
        <f t="shared" si="0"/>
        <v>4</v>
      </c>
      <c r="F41" s="1">
        <f t="shared" si="1"/>
        <v>0</v>
      </c>
      <c r="G41" s="113">
        <f t="shared" si="2"/>
        <v>0</v>
      </c>
      <c r="H41" s="115">
        <f t="shared" si="3"/>
        <v>4</v>
      </c>
      <c r="I41" s="80">
        <f t="shared" si="4"/>
        <v>4</v>
      </c>
      <c r="J41" s="1">
        <f t="shared" si="5"/>
        <v>0</v>
      </c>
      <c r="K41" s="37">
        <f t="shared" si="7"/>
        <v>0</v>
      </c>
      <c r="L41" s="111">
        <f t="shared" si="6"/>
        <v>4</v>
      </c>
    </row>
    <row r="42" spans="1:12" ht="15" thickBot="1" x14ac:dyDescent="0.35">
      <c r="B42" s="37">
        <v>7</v>
      </c>
      <c r="C42" s="47">
        <v>1</v>
      </c>
      <c r="D42" s="49">
        <v>2</v>
      </c>
      <c r="E42" s="80">
        <f t="shared" si="0"/>
        <v>1</v>
      </c>
      <c r="F42" s="1">
        <f>IF(SUM(E42,G42)&lt;C42,C42-E42-G42,0)</f>
        <v>0</v>
      </c>
      <c r="G42" s="113">
        <f>IF((C42-E42)&lt;=J42,C42-E42,J42)</f>
        <v>0</v>
      </c>
      <c r="H42" s="116">
        <f t="shared" si="3"/>
        <v>1</v>
      </c>
      <c r="I42" s="80">
        <f t="shared" si="4"/>
        <v>2</v>
      </c>
      <c r="J42" s="1">
        <f>IF(I42&lt;$D$26,$D$26-I42,0)</f>
        <v>2</v>
      </c>
      <c r="K42" s="37">
        <f t="shared" si="7"/>
        <v>0</v>
      </c>
      <c r="L42" s="112">
        <f t="shared" si="6"/>
        <v>2</v>
      </c>
    </row>
    <row r="44" spans="1:12" x14ac:dyDescent="0.3">
      <c r="A44" s="4" t="s">
        <v>3</v>
      </c>
      <c r="B44" s="23" t="s">
        <v>399</v>
      </c>
      <c r="C44" s="23"/>
      <c r="D44" s="23"/>
      <c r="E44" s="23"/>
      <c r="F44" s="23"/>
      <c r="G44" s="23"/>
      <c r="H44" s="23"/>
      <c r="I44"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DA56-55B2-4A07-B5D8-399F7E815A4E}">
  <sheetPr>
    <tabColor theme="5" tint="0.59999389629810485"/>
  </sheetPr>
  <dimension ref="A1:L30"/>
  <sheetViews>
    <sheetView topLeftCell="A2" workbookViewId="0">
      <selection activeCell="C21" sqref="C21:E21"/>
    </sheetView>
  </sheetViews>
  <sheetFormatPr defaultRowHeight="14.4" x14ac:dyDescent="0.3"/>
  <cols>
    <col min="6" max="6" width="14" customWidth="1"/>
  </cols>
  <sheetData>
    <row r="1" spans="1:6" x14ac:dyDescent="0.3">
      <c r="A1" t="s">
        <v>98</v>
      </c>
    </row>
    <row r="2" spans="1:6" x14ac:dyDescent="0.3">
      <c r="A2" t="s">
        <v>99</v>
      </c>
    </row>
    <row r="5" spans="1:6" x14ac:dyDescent="0.3">
      <c r="B5" t="s">
        <v>85</v>
      </c>
    </row>
    <row r="6" spans="1:6" x14ac:dyDescent="0.3">
      <c r="A6" s="1" t="s">
        <v>86</v>
      </c>
      <c r="B6" s="1" t="s">
        <v>87</v>
      </c>
      <c r="C6" s="1" t="s">
        <v>88</v>
      </c>
      <c r="D6" s="1" t="s">
        <v>89</v>
      </c>
      <c r="E6" s="1" t="s">
        <v>90</v>
      </c>
      <c r="F6" s="1" t="s">
        <v>91</v>
      </c>
    </row>
    <row r="7" spans="1:6" x14ac:dyDescent="0.3">
      <c r="A7" s="1" t="s">
        <v>92</v>
      </c>
      <c r="B7" s="1">
        <v>100</v>
      </c>
      <c r="C7" s="1">
        <v>130</v>
      </c>
      <c r="D7" s="1">
        <v>140</v>
      </c>
      <c r="E7" s="1">
        <v>210</v>
      </c>
      <c r="F7" s="1">
        <v>80</v>
      </c>
    </row>
    <row r="8" spans="1:6" x14ac:dyDescent="0.3">
      <c r="A8" s="1" t="s">
        <v>93</v>
      </c>
      <c r="B8" s="1">
        <v>265</v>
      </c>
      <c r="C8" s="1">
        <v>235</v>
      </c>
      <c r="D8" s="1">
        <v>170</v>
      </c>
      <c r="E8" s="1">
        <v>220</v>
      </c>
      <c r="F8" s="1">
        <v>120</v>
      </c>
    </row>
    <row r="9" spans="1:6" x14ac:dyDescent="0.3">
      <c r="A9" s="1" t="s">
        <v>94</v>
      </c>
      <c r="B9" s="1">
        <v>200</v>
      </c>
      <c r="C9" s="1">
        <v>160</v>
      </c>
      <c r="D9" s="1">
        <v>260</v>
      </c>
      <c r="E9" s="1">
        <v>180</v>
      </c>
      <c r="F9" s="1">
        <v>220</v>
      </c>
    </row>
    <row r="11" spans="1:6" x14ac:dyDescent="0.3">
      <c r="A11" t="s">
        <v>95</v>
      </c>
    </row>
    <row r="13" spans="1:6" x14ac:dyDescent="0.3">
      <c r="A13" s="1"/>
      <c r="B13" s="1" t="s">
        <v>87</v>
      </c>
      <c r="C13" s="1" t="s">
        <v>88</v>
      </c>
      <c r="D13" s="1" t="s">
        <v>89</v>
      </c>
      <c r="E13" s="1" t="s">
        <v>90</v>
      </c>
      <c r="F13" s="1" t="s">
        <v>91</v>
      </c>
    </row>
    <row r="14" spans="1:6" x14ac:dyDescent="0.3">
      <c r="A14" s="1" t="s">
        <v>96</v>
      </c>
      <c r="B14" s="1">
        <v>3200</v>
      </c>
      <c r="C14" s="1">
        <v>2500</v>
      </c>
      <c r="D14" s="1">
        <v>3500</v>
      </c>
      <c r="E14" s="1">
        <v>3000</v>
      </c>
      <c r="F14" s="1">
        <v>2500</v>
      </c>
    </row>
    <row r="16" spans="1:6" x14ac:dyDescent="0.3">
      <c r="A16" t="s">
        <v>97</v>
      </c>
    </row>
    <row r="18" spans="1:12" x14ac:dyDescent="0.3">
      <c r="B18" t="s">
        <v>4</v>
      </c>
      <c r="C18" t="s">
        <v>100</v>
      </c>
      <c r="D18" t="s">
        <v>101</v>
      </c>
      <c r="E18" t="s">
        <v>102</v>
      </c>
    </row>
    <row r="19" spans="1:12" x14ac:dyDescent="0.3">
      <c r="B19" t="s">
        <v>5</v>
      </c>
      <c r="C19" s="3">
        <v>8</v>
      </c>
      <c r="D19" s="3">
        <v>5</v>
      </c>
      <c r="E19" s="3">
        <v>6</v>
      </c>
    </row>
    <row r="21" spans="1:12" x14ac:dyDescent="0.3">
      <c r="A21" t="s">
        <v>2</v>
      </c>
      <c r="B21" t="s">
        <v>54</v>
      </c>
      <c r="C21">
        <v>18500</v>
      </c>
      <c r="D21">
        <v>25000</v>
      </c>
      <c r="E21">
        <v>35000</v>
      </c>
      <c r="F21" s="97">
        <f>SUMPRODUCT(C19:E19,C21:E21)</f>
        <v>483000</v>
      </c>
      <c r="G21" s="24" t="s">
        <v>16</v>
      </c>
    </row>
    <row r="24" spans="1:12" x14ac:dyDescent="0.3">
      <c r="A24" t="s">
        <v>46</v>
      </c>
      <c r="B24" t="s">
        <v>87</v>
      </c>
      <c r="C24">
        <v>100</v>
      </c>
      <c r="D24">
        <v>265</v>
      </c>
      <c r="E24">
        <v>200</v>
      </c>
      <c r="F24" s="1">
        <f>SUMPRODUCT(C24:E24,$C$19:$E$19)</f>
        <v>3325</v>
      </c>
      <c r="G24">
        <v>3200</v>
      </c>
    </row>
    <row r="25" spans="1:12" x14ac:dyDescent="0.3">
      <c r="B25" t="s">
        <v>88</v>
      </c>
      <c r="C25">
        <v>130</v>
      </c>
      <c r="D25">
        <v>235</v>
      </c>
      <c r="E25">
        <v>160</v>
      </c>
      <c r="F25" s="1">
        <f t="shared" ref="F25:F27" si="0">SUMPRODUCT(C25:E25,$C$19:$E$19)</f>
        <v>3175</v>
      </c>
      <c r="G25">
        <v>2500</v>
      </c>
    </row>
    <row r="26" spans="1:12" x14ac:dyDescent="0.3">
      <c r="B26" t="s">
        <v>89</v>
      </c>
      <c r="C26">
        <v>140</v>
      </c>
      <c r="D26">
        <v>170</v>
      </c>
      <c r="E26">
        <v>260</v>
      </c>
      <c r="F26" s="1">
        <f t="shared" si="0"/>
        <v>3530</v>
      </c>
      <c r="G26">
        <v>3500</v>
      </c>
    </row>
    <row r="27" spans="1:12" x14ac:dyDescent="0.3">
      <c r="B27" t="s">
        <v>90</v>
      </c>
      <c r="C27">
        <v>210</v>
      </c>
      <c r="D27">
        <v>220</v>
      </c>
      <c r="E27">
        <v>180</v>
      </c>
      <c r="F27" s="1">
        <f t="shared" si="0"/>
        <v>3860</v>
      </c>
      <c r="G27">
        <v>3000</v>
      </c>
    </row>
    <row r="28" spans="1:12" x14ac:dyDescent="0.3">
      <c r="B28" t="s">
        <v>91</v>
      </c>
      <c r="C28">
        <v>80</v>
      </c>
      <c r="D28">
        <v>120</v>
      </c>
      <c r="E28">
        <v>220</v>
      </c>
      <c r="F28" s="1">
        <f>SUMPRODUCT(C28:E28,$C$19:$E$19)</f>
        <v>2560</v>
      </c>
      <c r="G28">
        <v>2500</v>
      </c>
    </row>
    <row r="30" spans="1:12" x14ac:dyDescent="0.3">
      <c r="A30" s="4" t="s">
        <v>103</v>
      </c>
      <c r="B30" s="23" t="s">
        <v>419</v>
      </c>
      <c r="C30" s="23"/>
      <c r="D30" s="23"/>
      <c r="E30" s="23"/>
      <c r="F30" s="23"/>
      <c r="G30" s="23"/>
      <c r="H30" s="23"/>
      <c r="I30" s="23"/>
      <c r="J30" s="23"/>
      <c r="K30" s="23"/>
      <c r="L3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32CD-BF48-4781-9083-A946BC73EC9C}">
  <sheetPr>
    <tabColor rgb="FFE2C6B4"/>
  </sheetPr>
  <dimension ref="B1:T80"/>
  <sheetViews>
    <sheetView topLeftCell="B1" workbookViewId="0">
      <selection activeCell="F55" sqref="F55"/>
    </sheetView>
  </sheetViews>
  <sheetFormatPr defaultRowHeight="14.4" x14ac:dyDescent="0.3"/>
  <cols>
    <col min="3" max="3" width="12.5546875" customWidth="1"/>
    <col min="4" max="4" width="13.77734375" customWidth="1"/>
    <col min="5" max="5" width="10.44140625" customWidth="1"/>
    <col min="11" max="11" width="13.88671875" customWidth="1"/>
    <col min="12" max="12" width="12.44140625" bestFit="1" customWidth="1"/>
  </cols>
  <sheetData>
    <row r="1" spans="2:8" x14ac:dyDescent="0.3">
      <c r="B1" t="s">
        <v>260</v>
      </c>
    </row>
    <row r="2" spans="2:8" x14ac:dyDescent="0.3">
      <c r="B2" t="s">
        <v>261</v>
      </c>
    </row>
    <row r="3" spans="2:8" x14ac:dyDescent="0.3">
      <c r="B3" t="s">
        <v>262</v>
      </c>
    </row>
    <row r="5" spans="2:8" x14ac:dyDescent="0.3">
      <c r="B5" t="s">
        <v>263</v>
      </c>
    </row>
    <row r="6" spans="2:8" x14ac:dyDescent="0.3">
      <c r="B6" t="s">
        <v>264</v>
      </c>
    </row>
    <row r="8" spans="2:8" x14ac:dyDescent="0.3">
      <c r="B8" s="151" t="s">
        <v>265</v>
      </c>
      <c r="C8" s="151"/>
      <c r="D8" s="151"/>
    </row>
    <row r="9" spans="2:8" x14ac:dyDescent="0.3">
      <c r="B9" s="62" t="s">
        <v>266</v>
      </c>
      <c r="C9" s="62" t="s">
        <v>133</v>
      </c>
      <c r="D9" s="62" t="s">
        <v>267</v>
      </c>
      <c r="E9" s="62" t="s">
        <v>132</v>
      </c>
      <c r="F9" s="62" t="s">
        <v>268</v>
      </c>
      <c r="G9" s="62" t="s">
        <v>269</v>
      </c>
    </row>
    <row r="10" spans="2:8" x14ac:dyDescent="0.3">
      <c r="B10" s="64">
        <v>25</v>
      </c>
      <c r="C10" s="64">
        <v>60</v>
      </c>
      <c r="D10" s="64">
        <v>35</v>
      </c>
      <c r="E10" s="64">
        <v>35</v>
      </c>
      <c r="F10" s="64">
        <v>30</v>
      </c>
      <c r="G10" s="64">
        <v>35</v>
      </c>
    </row>
    <row r="12" spans="2:8" x14ac:dyDescent="0.3">
      <c r="B12" t="s">
        <v>270</v>
      </c>
    </row>
    <row r="14" spans="2:8" x14ac:dyDescent="0.3">
      <c r="C14" t="s">
        <v>279</v>
      </c>
    </row>
    <row r="15" spans="2:8" x14ac:dyDescent="0.3">
      <c r="B15" s="62" t="s">
        <v>271</v>
      </c>
      <c r="C15" s="62" t="s">
        <v>266</v>
      </c>
      <c r="D15" s="62" t="s">
        <v>133</v>
      </c>
      <c r="E15" s="62" t="s">
        <v>267</v>
      </c>
      <c r="F15" s="62" t="s">
        <v>132</v>
      </c>
      <c r="G15" s="62" t="s">
        <v>268</v>
      </c>
      <c r="H15" s="62" t="s">
        <v>269</v>
      </c>
    </row>
    <row r="16" spans="2:8" x14ac:dyDescent="0.3">
      <c r="B16" s="62" t="s">
        <v>272</v>
      </c>
      <c r="C16" s="64">
        <v>4</v>
      </c>
      <c r="D16" s="64">
        <v>2</v>
      </c>
      <c r="E16" s="64">
        <v>2</v>
      </c>
      <c r="F16" s="64">
        <v>2</v>
      </c>
      <c r="G16" s="64">
        <v>3</v>
      </c>
      <c r="H16" s="64">
        <v>3</v>
      </c>
    </row>
    <row r="17" spans="2:8" x14ac:dyDescent="0.3">
      <c r="B17" s="62" t="s">
        <v>273</v>
      </c>
      <c r="C17" s="64">
        <v>6</v>
      </c>
      <c r="D17" s="64">
        <v>4</v>
      </c>
      <c r="E17" s="64">
        <v>3</v>
      </c>
      <c r="F17" s="64">
        <v>4</v>
      </c>
      <c r="G17" s="64">
        <v>2</v>
      </c>
      <c r="H17" s="64">
        <v>2</v>
      </c>
    </row>
    <row r="18" spans="2:8" x14ac:dyDescent="0.3">
      <c r="B18" s="62" t="s">
        <v>274</v>
      </c>
      <c r="C18" s="64">
        <v>3</v>
      </c>
      <c r="D18" s="64">
        <v>2</v>
      </c>
      <c r="E18" s="64">
        <v>3</v>
      </c>
      <c r="F18" s="64">
        <v>2</v>
      </c>
      <c r="G18" s="64">
        <v>5</v>
      </c>
      <c r="H18" s="64">
        <v>4</v>
      </c>
    </row>
    <row r="19" spans="2:8" x14ac:dyDescent="0.3">
      <c r="B19" s="62" t="s">
        <v>275</v>
      </c>
      <c r="C19" s="64">
        <v>6</v>
      </c>
      <c r="D19" s="64">
        <v>4</v>
      </c>
      <c r="E19" s="64">
        <v>2</v>
      </c>
      <c r="F19" s="64">
        <v>5</v>
      </c>
      <c r="G19" s="64">
        <v>2</v>
      </c>
      <c r="H19" s="64">
        <v>3</v>
      </c>
    </row>
    <row r="20" spans="2:8" x14ac:dyDescent="0.3">
      <c r="B20" s="62" t="s">
        <v>276</v>
      </c>
      <c r="C20" s="64">
        <v>2</v>
      </c>
      <c r="D20" s="64">
        <v>3</v>
      </c>
      <c r="E20" s="64">
        <v>5</v>
      </c>
      <c r="F20" s="64">
        <v>4</v>
      </c>
      <c r="G20" s="64">
        <v>6</v>
      </c>
      <c r="H20" s="64">
        <v>7</v>
      </c>
    </row>
    <row r="21" spans="2:8" x14ac:dyDescent="0.3">
      <c r="B21" s="62" t="s">
        <v>277</v>
      </c>
      <c r="C21" s="64">
        <v>7</v>
      </c>
      <c r="D21" s="64">
        <v>4</v>
      </c>
      <c r="E21" s="64">
        <v>3</v>
      </c>
      <c r="F21" s="64">
        <v>2</v>
      </c>
      <c r="G21" s="64">
        <v>4</v>
      </c>
      <c r="H21" s="64">
        <v>2</v>
      </c>
    </row>
    <row r="22" spans="2:8" x14ac:dyDescent="0.3">
      <c r="B22" s="62" t="s">
        <v>278</v>
      </c>
      <c r="C22" s="64">
        <v>2</v>
      </c>
      <c r="D22" s="64">
        <v>3</v>
      </c>
      <c r="E22" s="64">
        <v>6</v>
      </c>
      <c r="F22" s="64">
        <v>2</v>
      </c>
      <c r="G22" s="64">
        <v>7</v>
      </c>
      <c r="H22" s="64">
        <v>6</v>
      </c>
    </row>
    <row r="24" spans="2:8" x14ac:dyDescent="0.3">
      <c r="B24" t="s">
        <v>280</v>
      </c>
    </row>
    <row r="26" spans="2:8" x14ac:dyDescent="0.3">
      <c r="C26" s="62" t="s">
        <v>271</v>
      </c>
      <c r="D26" s="62" t="s">
        <v>281</v>
      </c>
    </row>
    <row r="27" spans="2:8" x14ac:dyDescent="0.3">
      <c r="C27" s="62" t="s">
        <v>272</v>
      </c>
      <c r="D27" s="63">
        <v>45</v>
      </c>
    </row>
    <row r="28" spans="2:8" x14ac:dyDescent="0.3">
      <c r="C28" s="62" t="s">
        <v>273</v>
      </c>
      <c r="D28" s="63">
        <v>65</v>
      </c>
    </row>
    <row r="29" spans="2:8" x14ac:dyDescent="0.3">
      <c r="C29" s="62" t="s">
        <v>274</v>
      </c>
      <c r="D29" s="63">
        <v>50</v>
      </c>
    </row>
    <row r="30" spans="2:8" x14ac:dyDescent="0.3">
      <c r="C30" s="62" t="s">
        <v>275</v>
      </c>
      <c r="D30" s="63">
        <v>90</v>
      </c>
    </row>
    <row r="31" spans="2:8" x14ac:dyDescent="0.3">
      <c r="C31" s="62" t="s">
        <v>276</v>
      </c>
      <c r="D31" s="63">
        <v>70</v>
      </c>
    </row>
    <row r="32" spans="2:8" x14ac:dyDescent="0.3">
      <c r="C32" s="62" t="s">
        <v>277</v>
      </c>
      <c r="D32" s="63">
        <v>80</v>
      </c>
    </row>
    <row r="33" spans="2:20" x14ac:dyDescent="0.3">
      <c r="C33" s="62" t="s">
        <v>278</v>
      </c>
      <c r="D33" s="63">
        <v>60</v>
      </c>
    </row>
    <row r="35" spans="2:20" x14ac:dyDescent="0.3">
      <c r="B35" t="s">
        <v>285</v>
      </c>
    </row>
    <row r="36" spans="2:20" x14ac:dyDescent="0.3">
      <c r="B36" t="s">
        <v>286</v>
      </c>
    </row>
    <row r="38" spans="2:20" x14ac:dyDescent="0.3">
      <c r="B38" t="s">
        <v>282</v>
      </c>
    </row>
    <row r="39" spans="2:20" x14ac:dyDescent="0.3">
      <c r="B39" s="4" t="s">
        <v>103</v>
      </c>
      <c r="C39" s="23" t="s">
        <v>428</v>
      </c>
      <c r="D39" s="23"/>
      <c r="E39" s="23"/>
      <c r="F39" s="23"/>
      <c r="G39" s="23"/>
      <c r="H39" s="23"/>
      <c r="I39" s="23"/>
      <c r="J39" s="23"/>
      <c r="K39" s="23"/>
      <c r="L39" s="23"/>
      <c r="M39" s="23"/>
    </row>
    <row r="41" spans="2:20" x14ac:dyDescent="0.3">
      <c r="B41" t="s">
        <v>283</v>
      </c>
    </row>
    <row r="42" spans="2:20" x14ac:dyDescent="0.3">
      <c r="B42" s="4" t="s">
        <v>3</v>
      </c>
      <c r="C42" s="23" t="s">
        <v>427</v>
      </c>
      <c r="D42" s="23"/>
      <c r="E42" s="23"/>
      <c r="F42" s="23"/>
      <c r="G42" s="23"/>
      <c r="H42" s="23"/>
      <c r="I42" s="23"/>
      <c r="J42" s="23"/>
      <c r="K42" s="23"/>
      <c r="L42" s="23"/>
      <c r="M42" s="23"/>
      <c r="N42" s="23"/>
      <c r="O42" s="23"/>
      <c r="P42" s="23"/>
      <c r="Q42" s="23"/>
      <c r="R42" s="23"/>
      <c r="S42" s="23"/>
      <c r="T42" s="23"/>
    </row>
    <row r="43" spans="2:20" ht="15.6" x14ac:dyDescent="0.3">
      <c r="B43" s="60"/>
    </row>
    <row r="44" spans="2:20" ht="15.6" x14ac:dyDescent="0.3">
      <c r="B44" s="61" t="s">
        <v>284</v>
      </c>
    </row>
    <row r="45" spans="2:20" x14ac:dyDescent="0.3">
      <c r="B45" s="4" t="s">
        <v>3</v>
      </c>
      <c r="C45" s="23" t="s">
        <v>426</v>
      </c>
    </row>
    <row r="47" spans="2:20" ht="15" thickBot="1" x14ac:dyDescent="0.35">
      <c r="C47" t="s">
        <v>4</v>
      </c>
    </row>
    <row r="48" spans="2:20" x14ac:dyDescent="0.3">
      <c r="D48" s="62" t="s">
        <v>271</v>
      </c>
      <c r="E48" s="62" t="s">
        <v>266</v>
      </c>
      <c r="F48" s="62" t="s">
        <v>133</v>
      </c>
      <c r="G48" s="62" t="s">
        <v>267</v>
      </c>
      <c r="H48" s="62" t="s">
        <v>132</v>
      </c>
      <c r="I48" s="62" t="s">
        <v>268</v>
      </c>
      <c r="J48" s="88" t="s">
        <v>269</v>
      </c>
      <c r="K48" s="89" t="s">
        <v>371</v>
      </c>
      <c r="L48" s="108" t="s">
        <v>364</v>
      </c>
    </row>
    <row r="49" spans="2:12" x14ac:dyDescent="0.3">
      <c r="D49" s="62" t="s">
        <v>272</v>
      </c>
      <c r="E49" s="64">
        <v>0</v>
      </c>
      <c r="F49" s="64">
        <v>0</v>
      </c>
      <c r="G49" s="64">
        <v>0</v>
      </c>
      <c r="H49" s="64">
        <v>1</v>
      </c>
      <c r="I49" s="64">
        <v>0</v>
      </c>
      <c r="J49" s="78">
        <v>0</v>
      </c>
      <c r="K49" s="39">
        <f>SUM(E49:J49)</f>
        <v>1</v>
      </c>
      <c r="L49" s="79">
        <v>1</v>
      </c>
    </row>
    <row r="50" spans="2:12" x14ac:dyDescent="0.3">
      <c r="D50" s="62" t="s">
        <v>273</v>
      </c>
      <c r="E50" s="64">
        <v>0</v>
      </c>
      <c r="F50" s="64">
        <v>0</v>
      </c>
      <c r="G50" s="64">
        <v>0</v>
      </c>
      <c r="H50" s="64">
        <v>0</v>
      </c>
      <c r="I50" s="64">
        <v>1</v>
      </c>
      <c r="J50" s="78">
        <v>0</v>
      </c>
      <c r="K50" s="39">
        <f t="shared" ref="K50:K55" si="0">SUM(E50:J50)</f>
        <v>1</v>
      </c>
      <c r="L50" s="79">
        <v>1</v>
      </c>
    </row>
    <row r="51" spans="2:12" x14ac:dyDescent="0.3">
      <c r="D51" s="62" t="s">
        <v>274</v>
      </c>
      <c r="E51" s="64">
        <v>0</v>
      </c>
      <c r="F51" s="64">
        <v>0</v>
      </c>
      <c r="G51" s="64">
        <v>0</v>
      </c>
      <c r="H51" s="64">
        <v>1</v>
      </c>
      <c r="I51" s="64">
        <v>0</v>
      </c>
      <c r="J51" s="78">
        <v>0</v>
      </c>
      <c r="K51" s="39">
        <f t="shared" si="0"/>
        <v>1</v>
      </c>
      <c r="L51" s="79">
        <v>1</v>
      </c>
    </row>
    <row r="52" spans="2:12" x14ac:dyDescent="0.3">
      <c r="D52" s="62" t="s">
        <v>275</v>
      </c>
      <c r="E52" s="64">
        <v>0</v>
      </c>
      <c r="F52" s="64">
        <v>0</v>
      </c>
      <c r="G52" s="64">
        <v>0</v>
      </c>
      <c r="H52" s="64">
        <v>0</v>
      </c>
      <c r="I52" s="64">
        <v>1</v>
      </c>
      <c r="J52" s="78">
        <v>0</v>
      </c>
      <c r="K52" s="39">
        <f t="shared" si="0"/>
        <v>1</v>
      </c>
      <c r="L52" s="79">
        <v>1</v>
      </c>
    </row>
    <row r="53" spans="2:12" x14ac:dyDescent="0.3">
      <c r="D53" s="62" t="s">
        <v>276</v>
      </c>
      <c r="E53" s="64">
        <v>0</v>
      </c>
      <c r="F53" s="64">
        <v>0</v>
      </c>
      <c r="G53" s="64">
        <v>0</v>
      </c>
      <c r="H53" s="64">
        <v>1</v>
      </c>
      <c r="I53" s="64">
        <v>0</v>
      </c>
      <c r="J53" s="78">
        <v>0</v>
      </c>
      <c r="K53" s="39">
        <f t="shared" si="0"/>
        <v>1</v>
      </c>
      <c r="L53" s="79">
        <v>1</v>
      </c>
    </row>
    <row r="54" spans="2:12" x14ac:dyDescent="0.3">
      <c r="D54" s="62" t="s">
        <v>277</v>
      </c>
      <c r="E54" s="64">
        <v>0</v>
      </c>
      <c r="F54" s="64">
        <v>0</v>
      </c>
      <c r="G54" s="64">
        <v>0</v>
      </c>
      <c r="H54" s="64">
        <v>1</v>
      </c>
      <c r="I54" s="64">
        <v>0</v>
      </c>
      <c r="J54" s="78">
        <v>0</v>
      </c>
      <c r="K54" s="39">
        <f t="shared" si="0"/>
        <v>1</v>
      </c>
      <c r="L54" s="79">
        <v>1</v>
      </c>
    </row>
    <row r="55" spans="2:12" ht="15" thickBot="1" x14ac:dyDescent="0.35">
      <c r="D55" s="102" t="s">
        <v>278</v>
      </c>
      <c r="E55" s="74">
        <v>0</v>
      </c>
      <c r="F55" s="74">
        <v>0</v>
      </c>
      <c r="G55" s="74">
        <v>0</v>
      </c>
      <c r="H55" s="74">
        <v>1</v>
      </c>
      <c r="I55" s="74">
        <v>0</v>
      </c>
      <c r="J55" s="106">
        <v>0</v>
      </c>
      <c r="K55" s="67">
        <f t="shared" si="0"/>
        <v>1</v>
      </c>
      <c r="L55" s="79">
        <v>1</v>
      </c>
    </row>
    <row r="56" spans="2:12" ht="15" thickBot="1" x14ac:dyDescent="0.35">
      <c r="D56" s="103" t="s">
        <v>212</v>
      </c>
      <c r="E56" s="36">
        <f>SUM(E49:E55)</f>
        <v>0</v>
      </c>
      <c r="F56" s="36">
        <f t="shared" ref="F56:J56" si="1">SUM(F49:F55)</f>
        <v>0</v>
      </c>
      <c r="G56" s="36">
        <f t="shared" si="1"/>
        <v>0</v>
      </c>
      <c r="H56" s="36">
        <f t="shared" si="1"/>
        <v>5</v>
      </c>
      <c r="I56" s="36">
        <f t="shared" si="1"/>
        <v>2</v>
      </c>
      <c r="J56" s="70">
        <f t="shared" si="1"/>
        <v>0</v>
      </c>
    </row>
    <row r="57" spans="2:12" ht="15" thickBot="1" x14ac:dyDescent="0.35"/>
    <row r="58" spans="2:12" x14ac:dyDescent="0.3">
      <c r="B58" t="s">
        <v>2</v>
      </c>
      <c r="C58" t="s">
        <v>54</v>
      </c>
      <c r="D58" s="62" t="s">
        <v>271</v>
      </c>
      <c r="E58" s="62" t="s">
        <v>266</v>
      </c>
      <c r="F58" s="62" t="s">
        <v>133</v>
      </c>
      <c r="G58" s="62" t="s">
        <v>267</v>
      </c>
      <c r="H58" s="62" t="s">
        <v>132</v>
      </c>
      <c r="I58" s="62" t="s">
        <v>268</v>
      </c>
      <c r="J58" s="62" t="s">
        <v>269</v>
      </c>
      <c r="L58" s="90" t="s">
        <v>372</v>
      </c>
    </row>
    <row r="59" spans="2:12" ht="15" thickBot="1" x14ac:dyDescent="0.35">
      <c r="D59" s="62" t="s">
        <v>272</v>
      </c>
      <c r="E59" s="64">
        <f t="shared" ref="E59:J65" si="2">E74*C16*0.15</f>
        <v>27</v>
      </c>
      <c r="F59" s="64">
        <f t="shared" si="2"/>
        <v>13.5</v>
      </c>
      <c r="G59" s="64">
        <f t="shared" si="2"/>
        <v>13.5</v>
      </c>
      <c r="H59" s="64">
        <f t="shared" si="2"/>
        <v>13.5</v>
      </c>
      <c r="I59" s="64">
        <f t="shared" si="2"/>
        <v>20.25</v>
      </c>
      <c r="J59" s="64">
        <f t="shared" si="2"/>
        <v>20.25</v>
      </c>
      <c r="L59" s="109">
        <f>1000*(K65+K70)</f>
        <v>224000</v>
      </c>
    </row>
    <row r="60" spans="2:12" x14ac:dyDescent="0.3">
      <c r="D60" s="62" t="s">
        <v>273</v>
      </c>
      <c r="E60" s="64">
        <f t="shared" si="2"/>
        <v>58.5</v>
      </c>
      <c r="F60" s="64">
        <f t="shared" si="2"/>
        <v>39</v>
      </c>
      <c r="G60" s="64">
        <f t="shared" si="2"/>
        <v>29.25</v>
      </c>
      <c r="H60" s="64">
        <f t="shared" si="2"/>
        <v>39</v>
      </c>
      <c r="I60" s="64">
        <f t="shared" si="2"/>
        <v>19.5</v>
      </c>
      <c r="J60" s="64">
        <f t="shared" si="2"/>
        <v>19.5</v>
      </c>
    </row>
    <row r="61" spans="2:12" x14ac:dyDescent="0.3">
      <c r="D61" s="62" t="s">
        <v>274</v>
      </c>
      <c r="E61" s="64">
        <f t="shared" si="2"/>
        <v>22.5</v>
      </c>
      <c r="F61" s="64">
        <f t="shared" si="2"/>
        <v>15</v>
      </c>
      <c r="G61" s="64">
        <f t="shared" si="2"/>
        <v>22.5</v>
      </c>
      <c r="H61" s="64">
        <f t="shared" si="2"/>
        <v>15</v>
      </c>
      <c r="I61" s="64">
        <f t="shared" si="2"/>
        <v>37.5</v>
      </c>
      <c r="J61" s="64">
        <f t="shared" si="2"/>
        <v>30</v>
      </c>
    </row>
    <row r="62" spans="2:12" x14ac:dyDescent="0.3">
      <c r="D62" s="62" t="s">
        <v>275</v>
      </c>
      <c r="E62" s="64">
        <f t="shared" si="2"/>
        <v>81</v>
      </c>
      <c r="F62" s="64">
        <f t="shared" si="2"/>
        <v>54</v>
      </c>
      <c r="G62" s="64">
        <f t="shared" si="2"/>
        <v>27</v>
      </c>
      <c r="H62" s="64">
        <f t="shared" si="2"/>
        <v>67.5</v>
      </c>
      <c r="I62" s="64">
        <f t="shared" si="2"/>
        <v>27</v>
      </c>
      <c r="J62" s="64">
        <f t="shared" si="2"/>
        <v>40.5</v>
      </c>
    </row>
    <row r="63" spans="2:12" x14ac:dyDescent="0.3">
      <c r="D63" s="62" t="s">
        <v>276</v>
      </c>
      <c r="E63" s="64">
        <f t="shared" si="2"/>
        <v>21</v>
      </c>
      <c r="F63" s="64">
        <f t="shared" si="2"/>
        <v>31.5</v>
      </c>
      <c r="G63" s="64">
        <f t="shared" si="2"/>
        <v>52.5</v>
      </c>
      <c r="H63" s="64">
        <f t="shared" si="2"/>
        <v>42</v>
      </c>
      <c r="I63" s="64">
        <f t="shared" si="2"/>
        <v>63</v>
      </c>
      <c r="J63" s="64">
        <f t="shared" si="2"/>
        <v>73.5</v>
      </c>
    </row>
    <row r="64" spans="2:12" ht="15" thickBot="1" x14ac:dyDescent="0.35">
      <c r="D64" s="62" t="s">
        <v>277</v>
      </c>
      <c r="E64" s="64">
        <f t="shared" si="2"/>
        <v>84</v>
      </c>
      <c r="F64" s="64">
        <f t="shared" si="2"/>
        <v>48</v>
      </c>
      <c r="G64" s="64">
        <f t="shared" si="2"/>
        <v>36</v>
      </c>
      <c r="H64" s="64">
        <f t="shared" si="2"/>
        <v>24</v>
      </c>
      <c r="I64" s="64">
        <f t="shared" si="2"/>
        <v>48</v>
      </c>
      <c r="J64" s="64">
        <f t="shared" si="2"/>
        <v>24</v>
      </c>
    </row>
    <row r="65" spans="3:11" ht="15" thickBot="1" x14ac:dyDescent="0.35">
      <c r="D65" s="62" t="s">
        <v>278</v>
      </c>
      <c r="E65" s="64">
        <f t="shared" si="2"/>
        <v>18</v>
      </c>
      <c r="F65" s="64">
        <f t="shared" si="2"/>
        <v>27</v>
      </c>
      <c r="G65" s="64">
        <f t="shared" si="2"/>
        <v>54</v>
      </c>
      <c r="H65" s="64">
        <f t="shared" si="2"/>
        <v>18</v>
      </c>
      <c r="I65" s="64">
        <f t="shared" si="2"/>
        <v>63</v>
      </c>
      <c r="J65" s="64">
        <f t="shared" si="2"/>
        <v>54</v>
      </c>
      <c r="K65" s="41">
        <f>SUMPRODUCT(E49:J55,E59:J65)</f>
        <v>159</v>
      </c>
    </row>
    <row r="68" spans="3:11" x14ac:dyDescent="0.3">
      <c r="C68" t="s">
        <v>251</v>
      </c>
      <c r="D68" s="62" t="s">
        <v>316</v>
      </c>
      <c r="E68" s="62" t="s">
        <v>266</v>
      </c>
      <c r="F68" s="62" t="s">
        <v>133</v>
      </c>
      <c r="G68" s="62" t="s">
        <v>267</v>
      </c>
      <c r="H68" s="62" t="s">
        <v>132</v>
      </c>
      <c r="I68" s="62" t="s">
        <v>268</v>
      </c>
      <c r="J68" s="62" t="s">
        <v>269</v>
      </c>
    </row>
    <row r="69" spans="3:11" ht="15" thickBot="1" x14ac:dyDescent="0.35">
      <c r="D69" s="62" t="s">
        <v>16</v>
      </c>
      <c r="E69" s="64">
        <v>25</v>
      </c>
      <c r="F69" s="64">
        <v>60</v>
      </c>
      <c r="G69" s="64">
        <v>35</v>
      </c>
      <c r="H69" s="64">
        <v>35</v>
      </c>
      <c r="I69" s="64">
        <v>30</v>
      </c>
      <c r="J69" s="64">
        <v>35</v>
      </c>
    </row>
    <row r="70" spans="3:11" ht="15" thickBot="1" x14ac:dyDescent="0.35">
      <c r="E70" s="1">
        <v>0</v>
      </c>
      <c r="F70" s="1">
        <v>0</v>
      </c>
      <c r="G70" s="1">
        <v>0</v>
      </c>
      <c r="H70" s="1">
        <v>1</v>
      </c>
      <c r="I70" s="1">
        <v>1</v>
      </c>
      <c r="J70" s="1">
        <v>0</v>
      </c>
      <c r="K70" s="41">
        <f>SUMPRODUCT(E70:J70,E69:J69)</f>
        <v>65</v>
      </c>
    </row>
    <row r="73" spans="3:11" x14ac:dyDescent="0.3">
      <c r="C73" t="s">
        <v>380</v>
      </c>
      <c r="D73" s="62" t="s">
        <v>271</v>
      </c>
      <c r="E73" s="62" t="s">
        <v>266</v>
      </c>
      <c r="F73" s="62" t="s">
        <v>133</v>
      </c>
      <c r="G73" s="62" t="s">
        <v>267</v>
      </c>
      <c r="H73" s="62" t="s">
        <v>132</v>
      </c>
      <c r="I73" s="62" t="s">
        <v>268</v>
      </c>
      <c r="J73" s="62" t="s">
        <v>269</v>
      </c>
    </row>
    <row r="74" spans="3:11" x14ac:dyDescent="0.3">
      <c r="D74" s="62" t="s">
        <v>272</v>
      </c>
      <c r="E74" s="63">
        <v>45</v>
      </c>
      <c r="F74" s="63">
        <v>45</v>
      </c>
      <c r="G74" s="63">
        <v>45</v>
      </c>
      <c r="H74" s="63">
        <v>45</v>
      </c>
      <c r="I74" s="63">
        <v>45</v>
      </c>
      <c r="J74" s="63">
        <v>45</v>
      </c>
    </row>
    <row r="75" spans="3:11" x14ac:dyDescent="0.3">
      <c r="D75" s="62" t="s">
        <v>273</v>
      </c>
      <c r="E75" s="63">
        <v>65</v>
      </c>
      <c r="F75" s="63">
        <v>65</v>
      </c>
      <c r="G75" s="63">
        <v>65</v>
      </c>
      <c r="H75" s="63">
        <v>65</v>
      </c>
      <c r="I75" s="63">
        <v>65</v>
      </c>
      <c r="J75" s="63">
        <v>65</v>
      </c>
    </row>
    <row r="76" spans="3:11" x14ac:dyDescent="0.3">
      <c r="D76" s="62" t="s">
        <v>274</v>
      </c>
      <c r="E76" s="63">
        <v>50</v>
      </c>
      <c r="F76" s="63">
        <v>50</v>
      </c>
      <c r="G76" s="63">
        <v>50</v>
      </c>
      <c r="H76" s="63">
        <v>50</v>
      </c>
      <c r="I76" s="63">
        <v>50</v>
      </c>
      <c r="J76" s="63">
        <v>50</v>
      </c>
    </row>
    <row r="77" spans="3:11" x14ac:dyDescent="0.3">
      <c r="D77" s="62" t="s">
        <v>275</v>
      </c>
      <c r="E77" s="63">
        <v>90</v>
      </c>
      <c r="F77" s="63">
        <v>90</v>
      </c>
      <c r="G77" s="63">
        <v>90</v>
      </c>
      <c r="H77" s="63">
        <v>90</v>
      </c>
      <c r="I77" s="63">
        <v>90</v>
      </c>
      <c r="J77" s="63">
        <v>90</v>
      </c>
    </row>
    <row r="78" spans="3:11" x14ac:dyDescent="0.3">
      <c r="D78" s="62" t="s">
        <v>276</v>
      </c>
      <c r="E78" s="63">
        <v>70</v>
      </c>
      <c r="F78" s="63">
        <v>70</v>
      </c>
      <c r="G78" s="63">
        <v>70</v>
      </c>
      <c r="H78" s="63">
        <v>70</v>
      </c>
      <c r="I78" s="63">
        <v>70</v>
      </c>
      <c r="J78" s="63">
        <v>70</v>
      </c>
    </row>
    <row r="79" spans="3:11" x14ac:dyDescent="0.3">
      <c r="D79" s="62" t="s">
        <v>277</v>
      </c>
      <c r="E79" s="63">
        <v>80</v>
      </c>
      <c r="F79" s="63">
        <v>80</v>
      </c>
      <c r="G79" s="63">
        <v>80</v>
      </c>
      <c r="H79" s="63">
        <v>80</v>
      </c>
      <c r="I79" s="63">
        <v>80</v>
      </c>
      <c r="J79" s="63">
        <v>80</v>
      </c>
    </row>
    <row r="80" spans="3:11" x14ac:dyDescent="0.3">
      <c r="D80" s="62" t="s">
        <v>278</v>
      </c>
      <c r="E80" s="63">
        <v>60</v>
      </c>
      <c r="F80" s="63">
        <v>60</v>
      </c>
      <c r="G80" s="63">
        <v>60</v>
      </c>
      <c r="H80" s="63">
        <v>60</v>
      </c>
      <c r="I80" s="63">
        <v>60</v>
      </c>
      <c r="J80" s="63">
        <v>60</v>
      </c>
    </row>
  </sheetData>
  <mergeCells count="1">
    <mergeCell ref="B8:D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FC372-BEBF-47F0-B6A4-702CED9B66CC}">
  <sheetPr>
    <tabColor theme="5" tint="0.59999389629810485"/>
  </sheetPr>
  <dimension ref="A1:V34"/>
  <sheetViews>
    <sheetView topLeftCell="A3" zoomScale="90" zoomScaleNormal="90" workbookViewId="0">
      <selection activeCell="A16" sqref="A16:D19"/>
    </sheetView>
  </sheetViews>
  <sheetFormatPr defaultRowHeight="14.4" x14ac:dyDescent="0.3"/>
  <cols>
    <col min="1" max="1" width="14.88671875" customWidth="1"/>
    <col min="2" max="2" width="10.88671875" customWidth="1"/>
    <col min="3" max="3" width="23" customWidth="1"/>
    <col min="4" max="4" width="14.109375" customWidth="1"/>
    <col min="5" max="5" width="13" customWidth="1"/>
    <col min="6" max="6" width="14.44140625" customWidth="1"/>
    <col min="7" max="7" width="14.109375" bestFit="1" customWidth="1"/>
    <col min="8" max="8" width="12.88671875" customWidth="1"/>
    <col min="9" max="9" width="17.109375" customWidth="1"/>
  </cols>
  <sheetData>
    <row r="1" spans="1:22" ht="15.6" customHeight="1" x14ac:dyDescent="0.3">
      <c r="A1" s="148" t="s">
        <v>327</v>
      </c>
      <c r="B1" s="148"/>
      <c r="C1" s="148"/>
      <c r="D1" s="148"/>
      <c r="E1" s="148"/>
      <c r="F1" s="148"/>
      <c r="G1" s="148"/>
      <c r="H1" s="148"/>
      <c r="I1" s="148"/>
      <c r="J1" s="148"/>
      <c r="K1" s="148"/>
      <c r="L1" s="148"/>
      <c r="M1" s="148"/>
      <c r="N1" s="148"/>
      <c r="O1" s="148"/>
      <c r="P1" s="148"/>
      <c r="Q1" s="148"/>
      <c r="R1" s="148"/>
      <c r="S1" s="148"/>
      <c r="T1" s="148"/>
      <c r="U1" s="148"/>
      <c r="V1" s="56"/>
    </row>
    <row r="2" spans="1:22" ht="14.4" customHeight="1" x14ac:dyDescent="0.3">
      <c r="A2" s="148"/>
      <c r="B2" s="148"/>
      <c r="C2" s="148"/>
      <c r="D2" s="148"/>
      <c r="E2" s="148"/>
      <c r="F2" s="148"/>
      <c r="G2" s="148"/>
      <c r="H2" s="148"/>
      <c r="I2" s="148"/>
      <c r="J2" s="148"/>
      <c r="K2" s="148"/>
      <c r="L2" s="148"/>
      <c r="M2" s="148"/>
      <c r="N2" s="148"/>
      <c r="O2" s="148"/>
      <c r="P2" s="148"/>
      <c r="Q2" s="148"/>
      <c r="R2" s="148"/>
      <c r="S2" s="148"/>
      <c r="T2" s="148"/>
      <c r="U2" s="148"/>
      <c r="V2" s="56"/>
    </row>
    <row r="3" spans="1:22" ht="14.4" customHeight="1" x14ac:dyDescent="0.3">
      <c r="A3" s="148"/>
      <c r="B3" s="148"/>
      <c r="C3" s="148"/>
      <c r="D3" s="148"/>
      <c r="E3" s="148"/>
      <c r="F3" s="148"/>
      <c r="G3" s="148"/>
      <c r="H3" s="148"/>
      <c r="I3" s="148"/>
      <c r="J3" s="148"/>
      <c r="K3" s="148"/>
      <c r="L3" s="148"/>
      <c r="M3" s="148"/>
      <c r="N3" s="148"/>
      <c r="O3" s="148"/>
      <c r="P3" s="148"/>
      <c r="Q3" s="148"/>
      <c r="R3" s="148"/>
      <c r="S3" s="148"/>
      <c r="T3" s="148"/>
      <c r="U3" s="148"/>
      <c r="V3" s="56"/>
    </row>
    <row r="4" spans="1:22" ht="14.4" customHeight="1" x14ac:dyDescent="0.3">
      <c r="A4" s="148"/>
      <c r="B4" s="148"/>
      <c r="C4" s="148"/>
      <c r="D4" s="148"/>
      <c r="E4" s="148"/>
      <c r="F4" s="148"/>
      <c r="G4" s="148"/>
      <c r="H4" s="148"/>
      <c r="I4" s="148"/>
      <c r="J4" s="148"/>
      <c r="K4" s="148"/>
      <c r="L4" s="148"/>
      <c r="M4" s="148"/>
      <c r="N4" s="148"/>
      <c r="O4" s="148"/>
      <c r="P4" s="148"/>
      <c r="Q4" s="148"/>
      <c r="R4" s="148"/>
      <c r="S4" s="148"/>
      <c r="T4" s="148"/>
      <c r="U4" s="148"/>
      <c r="V4" s="56"/>
    </row>
    <row r="5" spans="1:22" ht="14.4" customHeight="1" x14ac:dyDescent="0.3">
      <c r="A5" s="148"/>
      <c r="B5" s="148"/>
      <c r="C5" s="148"/>
      <c r="D5" s="148"/>
      <c r="E5" s="148"/>
      <c r="F5" s="148"/>
      <c r="G5" s="148"/>
      <c r="H5" s="148"/>
      <c r="I5" s="148"/>
      <c r="J5" s="148"/>
      <c r="K5" s="148"/>
      <c r="L5" s="148"/>
      <c r="M5" s="148"/>
      <c r="N5" s="148"/>
      <c r="O5" s="148"/>
      <c r="P5" s="148"/>
      <c r="Q5" s="148"/>
      <c r="R5" s="148"/>
      <c r="S5" s="148"/>
      <c r="T5" s="148"/>
      <c r="U5" s="148"/>
      <c r="V5" s="56"/>
    </row>
    <row r="6" spans="1:22" ht="14.4" customHeight="1" x14ac:dyDescent="0.3">
      <c r="A6" s="148"/>
      <c r="B6" s="148"/>
      <c r="C6" s="148"/>
      <c r="D6" s="148"/>
      <c r="E6" s="148"/>
      <c r="F6" s="148"/>
      <c r="G6" s="148"/>
      <c r="H6" s="148"/>
      <c r="I6" s="148"/>
      <c r="J6" s="148"/>
      <c r="K6" s="148"/>
      <c r="L6" s="148"/>
      <c r="M6" s="148"/>
      <c r="N6" s="148"/>
      <c r="O6" s="148"/>
      <c r="P6" s="148"/>
      <c r="Q6" s="148"/>
      <c r="R6" s="148"/>
      <c r="S6" s="148"/>
      <c r="T6" s="148"/>
      <c r="U6" s="148"/>
      <c r="V6" s="56"/>
    </row>
    <row r="7" spans="1:22" ht="14.4" customHeight="1" x14ac:dyDescent="0.3">
      <c r="A7" s="148"/>
      <c r="B7" s="148"/>
      <c r="C7" s="148"/>
      <c r="D7" s="148"/>
      <c r="E7" s="148"/>
      <c r="F7" s="148"/>
      <c r="G7" s="148"/>
      <c r="H7" s="148"/>
      <c r="I7" s="148"/>
      <c r="J7" s="148"/>
      <c r="K7" s="148"/>
      <c r="L7" s="148"/>
      <c r="M7" s="148"/>
      <c r="N7" s="148"/>
      <c r="O7" s="148"/>
      <c r="P7" s="148"/>
      <c r="Q7" s="148"/>
      <c r="R7" s="148"/>
      <c r="S7" s="148"/>
      <c r="T7" s="148"/>
      <c r="U7" s="148"/>
      <c r="V7" s="56"/>
    </row>
    <row r="9" spans="1:22" x14ac:dyDescent="0.3">
      <c r="A9" t="s">
        <v>328</v>
      </c>
    </row>
    <row r="11" spans="1:22" ht="21.6" customHeight="1" x14ac:dyDescent="0.3">
      <c r="A11" s="1" t="s">
        <v>346</v>
      </c>
      <c r="B11" s="1" t="s">
        <v>344</v>
      </c>
      <c r="C11" s="1" t="s">
        <v>345</v>
      </c>
    </row>
    <row r="12" spans="1:22" x14ac:dyDescent="0.3">
      <c r="A12" s="1" t="s">
        <v>347</v>
      </c>
      <c r="B12" s="1">
        <v>3.8</v>
      </c>
      <c r="C12" s="1">
        <v>7</v>
      </c>
    </row>
    <row r="13" spans="1:22" x14ac:dyDescent="0.3">
      <c r="A13" s="1" t="s">
        <v>348</v>
      </c>
      <c r="B13" s="1">
        <v>1.5</v>
      </c>
      <c r="C13" s="1">
        <v>1.5</v>
      </c>
    </row>
    <row r="16" spans="1:22" ht="33" customHeight="1" x14ac:dyDescent="0.3">
      <c r="A16" s="1" t="s">
        <v>349</v>
      </c>
      <c r="B16" s="69" t="s">
        <v>352</v>
      </c>
      <c r="C16" s="69" t="s">
        <v>353</v>
      </c>
      <c r="D16" s="69" t="s">
        <v>351</v>
      </c>
      <c r="E16" s="69" t="s">
        <v>354</v>
      </c>
      <c r="F16" s="27"/>
    </row>
    <row r="17" spans="1:9" x14ac:dyDescent="0.3">
      <c r="A17" s="1" t="s">
        <v>358</v>
      </c>
      <c r="B17" s="1">
        <v>3</v>
      </c>
      <c r="C17" s="1">
        <v>5</v>
      </c>
      <c r="D17" s="1">
        <v>10000</v>
      </c>
      <c r="E17" s="1">
        <v>2000</v>
      </c>
    </row>
    <row r="18" spans="1:9" x14ac:dyDescent="0.3">
      <c r="A18" s="1" t="s">
        <v>359</v>
      </c>
      <c r="B18" s="1">
        <v>7</v>
      </c>
      <c r="C18" s="1">
        <v>18</v>
      </c>
      <c r="D18" s="1">
        <v>25000</v>
      </c>
      <c r="E18" s="1">
        <v>2500</v>
      </c>
    </row>
    <row r="19" spans="1:9" x14ac:dyDescent="0.3">
      <c r="A19" s="1" t="s">
        <v>350</v>
      </c>
      <c r="B19" s="1">
        <v>2</v>
      </c>
      <c r="C19" s="1">
        <v>5</v>
      </c>
      <c r="D19" s="1">
        <v>12000</v>
      </c>
      <c r="E19" s="1">
        <v>1800</v>
      </c>
    </row>
    <row r="22" spans="1:9" x14ac:dyDescent="0.3">
      <c r="B22" t="s">
        <v>4</v>
      </c>
      <c r="C22" t="s">
        <v>349</v>
      </c>
      <c r="D22" s="1" t="s">
        <v>344</v>
      </c>
      <c r="E22" s="1" t="s">
        <v>345</v>
      </c>
    </row>
    <row r="23" spans="1:9" ht="13.8" customHeight="1" x14ac:dyDescent="0.3">
      <c r="D23" s="3">
        <v>2895</v>
      </c>
      <c r="E23" s="3">
        <v>263</v>
      </c>
    </row>
    <row r="26" spans="1:9" x14ac:dyDescent="0.3">
      <c r="A26" t="s">
        <v>2</v>
      </c>
      <c r="B26" t="s">
        <v>117</v>
      </c>
      <c r="C26" t="s">
        <v>355</v>
      </c>
      <c r="D26">
        <v>3.8</v>
      </c>
      <c r="E26">
        <v>7</v>
      </c>
      <c r="F26">
        <f>SUMPRODUCT(D26:E26,D23:E23)</f>
        <v>12842</v>
      </c>
      <c r="G26" s="72" t="s">
        <v>72</v>
      </c>
      <c r="H26" s="97">
        <f>F26-F27</f>
        <v>8105</v>
      </c>
    </row>
    <row r="27" spans="1:9" x14ac:dyDescent="0.3">
      <c r="C27" t="s">
        <v>356</v>
      </c>
      <c r="D27">
        <v>1.5</v>
      </c>
      <c r="E27">
        <v>1.5</v>
      </c>
      <c r="F27">
        <f>SUMPRODUCT(D27:E27,D23:E23)</f>
        <v>4737</v>
      </c>
    </row>
    <row r="28" spans="1:9" x14ac:dyDescent="0.3">
      <c r="C28" t="s">
        <v>357</v>
      </c>
      <c r="D28">
        <f>SUMPRODUCT(H30:H32,I30:I32)</f>
        <v>734.35</v>
      </c>
    </row>
    <row r="29" spans="1:9" x14ac:dyDescent="0.3">
      <c r="E29" s="71"/>
      <c r="F29" s="72" t="s">
        <v>360</v>
      </c>
      <c r="G29" s="72" t="s">
        <v>361</v>
      </c>
      <c r="H29" s="72" t="s">
        <v>51</v>
      </c>
      <c r="I29" s="72" t="s">
        <v>362</v>
      </c>
    </row>
    <row r="30" spans="1:9" x14ac:dyDescent="0.3">
      <c r="A30" t="s">
        <v>46</v>
      </c>
      <c r="B30" t="s">
        <v>363</v>
      </c>
      <c r="C30" t="s">
        <v>358</v>
      </c>
      <c r="D30" s="1">
        <v>3</v>
      </c>
      <c r="E30" s="1">
        <v>5</v>
      </c>
      <c r="F30" s="51">
        <f>SUMPRODUCT(D30:E30,$D$23:$E$23)</f>
        <v>10000</v>
      </c>
      <c r="G30" s="1">
        <v>10000</v>
      </c>
      <c r="H30" s="1">
        <f>G30-F30</f>
        <v>0</v>
      </c>
      <c r="I30" s="1">
        <f>2000/G30</f>
        <v>0.2</v>
      </c>
    </row>
    <row r="31" spans="1:9" x14ac:dyDescent="0.3">
      <c r="C31" t="s">
        <v>359</v>
      </c>
      <c r="D31" s="1">
        <v>7</v>
      </c>
      <c r="E31" s="1">
        <v>18</v>
      </c>
      <c r="F31" s="51">
        <f t="shared" ref="F31" si="0">SUMPRODUCT(D31:E31,$D$23:$E$23)</f>
        <v>24999</v>
      </c>
      <c r="G31" s="1">
        <v>25000</v>
      </c>
      <c r="H31" s="1">
        <f t="shared" ref="H31:H32" si="1">G31-F31</f>
        <v>1</v>
      </c>
      <c r="I31" s="1">
        <f>2500/G31</f>
        <v>0.1</v>
      </c>
    </row>
    <row r="32" spans="1:9" x14ac:dyDescent="0.3">
      <c r="C32" t="s">
        <v>350</v>
      </c>
      <c r="D32" s="1">
        <v>2</v>
      </c>
      <c r="E32" s="1">
        <v>5</v>
      </c>
      <c r="F32" s="51">
        <f>SUMPRODUCT(D32:E32,$D$23:$E$23)</f>
        <v>7105</v>
      </c>
      <c r="G32" s="1">
        <v>12000</v>
      </c>
      <c r="H32" s="1">
        <f t="shared" si="1"/>
        <v>4895</v>
      </c>
      <c r="I32" s="1">
        <f>1800/G32</f>
        <v>0.15</v>
      </c>
    </row>
    <row r="34" spans="1:9" x14ac:dyDescent="0.3">
      <c r="A34" s="4" t="s">
        <v>3</v>
      </c>
      <c r="B34" s="23" t="s">
        <v>431</v>
      </c>
      <c r="C34" s="23"/>
      <c r="D34" s="23"/>
      <c r="E34" s="23"/>
      <c r="F34" s="23"/>
      <c r="G34" s="23"/>
      <c r="H34" s="23"/>
      <c r="I34" s="23"/>
    </row>
  </sheetData>
  <mergeCells count="1">
    <mergeCell ref="A1:U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9CEC7-1A87-4143-985D-782CAAEA631E}">
  <sheetPr>
    <tabColor theme="8" tint="0.59999389629810485"/>
  </sheetPr>
  <dimension ref="A1:T71"/>
  <sheetViews>
    <sheetView workbookViewId="0">
      <selection activeCell="N16" sqref="N16"/>
    </sheetView>
  </sheetViews>
  <sheetFormatPr defaultRowHeight="14.4" x14ac:dyDescent="0.3"/>
  <cols>
    <col min="2" max="2" width="9.6640625" customWidth="1"/>
    <col min="3" max="3" width="13.5546875" customWidth="1"/>
    <col min="5" max="5" width="14.33203125" customWidth="1"/>
  </cols>
  <sheetData>
    <row r="1" spans="1:7" x14ac:dyDescent="0.3">
      <c r="A1" s="19" t="s">
        <v>329</v>
      </c>
    </row>
    <row r="2" spans="1:7" x14ac:dyDescent="0.3">
      <c r="A2" t="s">
        <v>330</v>
      </c>
    </row>
    <row r="4" spans="1:7" x14ac:dyDescent="0.3">
      <c r="A4" s="62" t="s">
        <v>331</v>
      </c>
      <c r="B4" s="64" t="s">
        <v>0</v>
      </c>
      <c r="C4" s="64" t="s">
        <v>1</v>
      </c>
      <c r="D4" s="64" t="s">
        <v>53</v>
      </c>
      <c r="E4" s="64" t="s">
        <v>45</v>
      </c>
      <c r="F4" s="64" t="s">
        <v>332</v>
      </c>
    </row>
    <row r="5" spans="1:7" x14ac:dyDescent="0.3">
      <c r="A5" s="62" t="s">
        <v>144</v>
      </c>
      <c r="B5" s="64">
        <v>350</v>
      </c>
      <c r="C5" s="64">
        <v>250</v>
      </c>
      <c r="D5" s="64">
        <v>500</v>
      </c>
      <c r="E5" s="64">
        <v>400</v>
      </c>
      <c r="F5" s="64">
        <v>200</v>
      </c>
    </row>
    <row r="7" spans="1:7" x14ac:dyDescent="0.3">
      <c r="A7" s="19" t="s">
        <v>333</v>
      </c>
    </row>
    <row r="9" spans="1:7" x14ac:dyDescent="0.3">
      <c r="A9" s="1"/>
      <c r="B9" s="64" t="s">
        <v>334</v>
      </c>
      <c r="C9" s="64" t="s">
        <v>0</v>
      </c>
      <c r="D9" s="64" t="s">
        <v>1</v>
      </c>
      <c r="E9" s="64" t="s">
        <v>53</v>
      </c>
      <c r="F9" s="64" t="s">
        <v>45</v>
      </c>
      <c r="G9" s="64" t="s">
        <v>332</v>
      </c>
    </row>
    <row r="10" spans="1:7" x14ac:dyDescent="0.3">
      <c r="A10" s="62" t="s">
        <v>335</v>
      </c>
      <c r="B10" s="64">
        <v>1</v>
      </c>
      <c r="C10" s="64">
        <v>3.4</v>
      </c>
      <c r="D10" s="64">
        <v>1.4</v>
      </c>
      <c r="E10" s="64">
        <v>4.9000000000000004</v>
      </c>
      <c r="F10" s="64">
        <v>7.4</v>
      </c>
      <c r="G10" s="64">
        <v>9.3000000000000007</v>
      </c>
    </row>
    <row r="11" spans="1:7" x14ac:dyDescent="0.3">
      <c r="A11" s="1"/>
      <c r="B11" s="64">
        <v>2</v>
      </c>
      <c r="C11" s="64">
        <v>2.4</v>
      </c>
      <c r="D11" s="64">
        <v>2.1</v>
      </c>
      <c r="E11" s="64">
        <v>8.3000000000000007</v>
      </c>
      <c r="F11" s="64">
        <v>9.1</v>
      </c>
      <c r="G11" s="64">
        <v>8.8000000000000007</v>
      </c>
    </row>
    <row r="12" spans="1:7" x14ac:dyDescent="0.3">
      <c r="A12" s="1"/>
      <c r="B12" s="64">
        <v>3</v>
      </c>
      <c r="C12" s="64">
        <v>1.4</v>
      </c>
      <c r="D12" s="64">
        <v>2.9</v>
      </c>
      <c r="E12" s="64">
        <v>3.7</v>
      </c>
      <c r="F12" s="64">
        <v>9.4</v>
      </c>
      <c r="G12" s="64">
        <v>8.6</v>
      </c>
    </row>
    <row r="13" spans="1:7" x14ac:dyDescent="0.3">
      <c r="A13" s="1"/>
      <c r="B13" s="64">
        <v>4</v>
      </c>
      <c r="C13" s="64">
        <v>2.6</v>
      </c>
      <c r="D13" s="64">
        <v>3.6</v>
      </c>
      <c r="E13" s="64">
        <v>4.5</v>
      </c>
      <c r="F13" s="64">
        <v>8.1999999999999993</v>
      </c>
      <c r="G13" s="64">
        <v>8.9</v>
      </c>
    </row>
    <row r="14" spans="1:7" x14ac:dyDescent="0.3">
      <c r="A14" s="1"/>
      <c r="B14" s="64">
        <v>5</v>
      </c>
      <c r="C14" s="64">
        <v>1.5</v>
      </c>
      <c r="D14" s="64">
        <v>3.1</v>
      </c>
      <c r="E14" s="64">
        <v>2.1</v>
      </c>
      <c r="F14" s="64">
        <v>7.9</v>
      </c>
      <c r="G14" s="64">
        <v>8.8000000000000007</v>
      </c>
    </row>
    <row r="15" spans="1:7" x14ac:dyDescent="0.3">
      <c r="A15" s="1"/>
      <c r="B15" s="64">
        <v>6</v>
      </c>
      <c r="C15" s="64">
        <v>4.2</v>
      </c>
      <c r="D15" s="64">
        <v>4.9000000000000004</v>
      </c>
      <c r="E15" s="64">
        <v>6.5</v>
      </c>
      <c r="F15" s="64">
        <v>7.7</v>
      </c>
      <c r="G15" s="64">
        <v>6.1</v>
      </c>
    </row>
    <row r="16" spans="1:7" x14ac:dyDescent="0.3">
      <c r="A16" s="1"/>
      <c r="B16" s="64">
        <v>7</v>
      </c>
      <c r="C16" s="64">
        <v>4.8</v>
      </c>
      <c r="D16" s="64">
        <v>6.2</v>
      </c>
      <c r="E16" s="64">
        <v>9.9</v>
      </c>
      <c r="F16" s="64">
        <v>6.2</v>
      </c>
      <c r="G16" s="64">
        <v>5.7</v>
      </c>
    </row>
    <row r="17" spans="1:20" x14ac:dyDescent="0.3">
      <c r="A17" s="1"/>
      <c r="B17" s="64">
        <v>8</v>
      </c>
      <c r="C17" s="64">
        <v>5.4</v>
      </c>
      <c r="D17" s="64">
        <v>6</v>
      </c>
      <c r="E17" s="64">
        <v>5.2</v>
      </c>
      <c r="F17" s="64">
        <v>7.6</v>
      </c>
      <c r="G17" s="64">
        <v>4.9000000000000004</v>
      </c>
    </row>
    <row r="18" spans="1:20" x14ac:dyDescent="0.3">
      <c r="A18" s="1"/>
      <c r="B18" s="64">
        <v>9</v>
      </c>
      <c r="C18" s="64">
        <v>3.1</v>
      </c>
      <c r="D18" s="64">
        <v>4.0999999999999996</v>
      </c>
      <c r="E18" s="64">
        <v>6.6</v>
      </c>
      <c r="F18" s="64">
        <v>7.5</v>
      </c>
      <c r="G18" s="64">
        <v>7.2</v>
      </c>
    </row>
    <row r="19" spans="1:20" x14ac:dyDescent="0.3">
      <c r="A19" s="1"/>
      <c r="B19" s="64">
        <v>10</v>
      </c>
      <c r="C19" s="64">
        <v>3.2</v>
      </c>
      <c r="D19" s="64">
        <v>6.5</v>
      </c>
      <c r="E19" s="64">
        <v>7.1</v>
      </c>
      <c r="F19" s="64">
        <v>6</v>
      </c>
      <c r="G19" s="64">
        <v>8.3000000000000007</v>
      </c>
    </row>
    <row r="21" spans="1:20" x14ac:dyDescent="0.3">
      <c r="A21" t="s">
        <v>336</v>
      </c>
    </row>
    <row r="23" spans="1:20" x14ac:dyDescent="0.3">
      <c r="A23" s="62" t="s">
        <v>337</v>
      </c>
      <c r="B23" s="64">
        <v>1</v>
      </c>
      <c r="C23" s="64">
        <v>2</v>
      </c>
      <c r="D23" s="64">
        <v>3</v>
      </c>
      <c r="E23" s="64">
        <v>4</v>
      </c>
      <c r="F23" s="64">
        <v>5</v>
      </c>
      <c r="G23" s="64">
        <v>6</v>
      </c>
      <c r="H23" s="64">
        <v>7</v>
      </c>
      <c r="I23" s="64">
        <v>8</v>
      </c>
      <c r="J23" s="64">
        <v>9</v>
      </c>
      <c r="K23" s="64">
        <v>10</v>
      </c>
    </row>
    <row r="24" spans="1:20" x14ac:dyDescent="0.3">
      <c r="A24" s="62" t="s">
        <v>338</v>
      </c>
      <c r="B24" s="64">
        <v>153</v>
      </c>
      <c r="C24" s="64">
        <v>152</v>
      </c>
      <c r="D24" s="64">
        <v>154</v>
      </c>
      <c r="E24" s="64">
        <v>138</v>
      </c>
      <c r="F24" s="64">
        <v>127</v>
      </c>
      <c r="G24" s="64">
        <v>129</v>
      </c>
      <c r="H24" s="64">
        <v>111</v>
      </c>
      <c r="I24" s="64">
        <v>110</v>
      </c>
      <c r="J24" s="64">
        <v>130</v>
      </c>
      <c r="K24" s="64">
        <v>135</v>
      </c>
    </row>
    <row r="26" spans="1:20" x14ac:dyDescent="0.3">
      <c r="A26" t="s">
        <v>339</v>
      </c>
    </row>
    <row r="28" spans="1:20" x14ac:dyDescent="0.3">
      <c r="A28" t="s">
        <v>340</v>
      </c>
    </row>
    <row r="29" spans="1:20" ht="15" thickBot="1" x14ac:dyDescent="0.35"/>
    <row r="30" spans="1:20" ht="15" thickBot="1" x14ac:dyDescent="0.35">
      <c r="B30" t="s">
        <v>4</v>
      </c>
      <c r="C30" s="64" t="s">
        <v>334</v>
      </c>
      <c r="D30" s="64" t="s">
        <v>0</v>
      </c>
      <c r="E30" s="64" t="s">
        <v>1</v>
      </c>
      <c r="F30" s="64" t="s">
        <v>53</v>
      </c>
      <c r="G30" s="64" t="s">
        <v>45</v>
      </c>
      <c r="H30" s="78" t="s">
        <v>332</v>
      </c>
      <c r="I30" s="81" t="s">
        <v>212</v>
      </c>
      <c r="J30" s="79" t="s">
        <v>364</v>
      </c>
      <c r="M30" s="142" t="s">
        <v>3</v>
      </c>
      <c r="N30" s="23" t="s">
        <v>433</v>
      </c>
      <c r="O30" s="23"/>
      <c r="P30" s="23"/>
      <c r="Q30" s="23"/>
      <c r="R30" s="23"/>
      <c r="S30" s="23"/>
      <c r="T30" s="23"/>
    </row>
    <row r="31" spans="1:20" x14ac:dyDescent="0.3">
      <c r="C31" s="64">
        <v>1</v>
      </c>
      <c r="D31" s="84">
        <v>0</v>
      </c>
      <c r="E31" s="73">
        <v>1</v>
      </c>
      <c r="F31" s="84">
        <v>0</v>
      </c>
      <c r="G31" s="84">
        <v>0</v>
      </c>
      <c r="H31" s="85">
        <v>0</v>
      </c>
      <c r="I31" s="38">
        <f>SUM(D31:H31)</f>
        <v>1</v>
      </c>
      <c r="J31" s="80">
        <v>1</v>
      </c>
      <c r="N31" s="23" t="s">
        <v>434</v>
      </c>
      <c r="O31" s="23"/>
      <c r="P31" s="23"/>
      <c r="Q31" s="23"/>
      <c r="R31" s="23"/>
      <c r="S31" s="23"/>
      <c r="T31" s="23"/>
    </row>
    <row r="32" spans="1:20" x14ac:dyDescent="0.3">
      <c r="C32" s="64">
        <v>2</v>
      </c>
      <c r="D32" s="73">
        <v>1</v>
      </c>
      <c r="E32" s="84">
        <v>0</v>
      </c>
      <c r="F32" s="84">
        <v>0</v>
      </c>
      <c r="G32" s="84">
        <v>0</v>
      </c>
      <c r="H32" s="85">
        <v>0</v>
      </c>
      <c r="I32" s="39">
        <f t="shared" ref="I32:I40" si="0">SUM(D32:H32)</f>
        <v>1</v>
      </c>
      <c r="J32" s="80">
        <v>1</v>
      </c>
      <c r="N32" s="23" t="s">
        <v>435</v>
      </c>
      <c r="O32" s="23"/>
      <c r="P32" s="23"/>
      <c r="Q32" s="23"/>
      <c r="R32" s="23"/>
      <c r="S32" s="23"/>
      <c r="T32" s="23"/>
    </row>
    <row r="33" spans="1:20" x14ac:dyDescent="0.3">
      <c r="C33" s="64">
        <v>3</v>
      </c>
      <c r="D33" s="84">
        <v>0</v>
      </c>
      <c r="E33" s="84">
        <v>0</v>
      </c>
      <c r="F33" s="73">
        <v>1</v>
      </c>
      <c r="G33" s="84">
        <v>0</v>
      </c>
      <c r="H33" s="85">
        <v>0</v>
      </c>
      <c r="I33" s="39">
        <f t="shared" si="0"/>
        <v>1</v>
      </c>
      <c r="J33" s="80">
        <v>1</v>
      </c>
      <c r="N33" s="23" t="s">
        <v>438</v>
      </c>
      <c r="O33" s="23"/>
      <c r="P33" s="23"/>
      <c r="Q33" s="23"/>
      <c r="R33" s="23"/>
      <c r="S33" s="23"/>
      <c r="T33" s="23"/>
    </row>
    <row r="34" spans="1:20" x14ac:dyDescent="0.3">
      <c r="C34" s="64">
        <v>4</v>
      </c>
      <c r="D34" s="84">
        <v>0</v>
      </c>
      <c r="E34" s="84">
        <v>0</v>
      </c>
      <c r="F34" s="73">
        <v>1</v>
      </c>
      <c r="G34" s="84">
        <v>0</v>
      </c>
      <c r="H34" s="85">
        <v>0</v>
      </c>
      <c r="I34" s="39">
        <f t="shared" si="0"/>
        <v>1</v>
      </c>
      <c r="J34" s="80">
        <v>1</v>
      </c>
      <c r="N34" s="23" t="s">
        <v>436</v>
      </c>
      <c r="O34" s="23"/>
      <c r="P34" s="23"/>
      <c r="Q34" s="23"/>
      <c r="R34" s="23"/>
      <c r="S34" s="23"/>
      <c r="T34" s="23"/>
    </row>
    <row r="35" spans="1:20" x14ac:dyDescent="0.3">
      <c r="C35" s="64">
        <v>5</v>
      </c>
      <c r="D35" s="84">
        <v>0</v>
      </c>
      <c r="E35" s="84">
        <v>0</v>
      </c>
      <c r="F35" s="73">
        <v>1</v>
      </c>
      <c r="G35" s="84">
        <v>0</v>
      </c>
      <c r="H35" s="85">
        <v>0</v>
      </c>
      <c r="I35" s="39">
        <f t="shared" si="0"/>
        <v>1</v>
      </c>
      <c r="J35" s="80">
        <v>1</v>
      </c>
      <c r="N35" s="23" t="s">
        <v>437</v>
      </c>
      <c r="O35" s="23"/>
      <c r="P35" s="23"/>
      <c r="Q35" s="23"/>
      <c r="R35" s="23"/>
      <c r="S35" s="23"/>
      <c r="T35" s="23"/>
    </row>
    <row r="36" spans="1:20" x14ac:dyDescent="0.3">
      <c r="C36" s="64">
        <v>6</v>
      </c>
      <c r="D36" s="84">
        <v>0</v>
      </c>
      <c r="E36" s="84">
        <v>0</v>
      </c>
      <c r="F36" s="84">
        <v>0</v>
      </c>
      <c r="G36" s="73">
        <v>1</v>
      </c>
      <c r="H36" s="85">
        <v>0</v>
      </c>
      <c r="I36" s="39">
        <f t="shared" si="0"/>
        <v>1</v>
      </c>
      <c r="J36" s="80">
        <v>1</v>
      </c>
    </row>
    <row r="37" spans="1:20" x14ac:dyDescent="0.3">
      <c r="C37" s="64">
        <v>7</v>
      </c>
      <c r="D37" s="84">
        <v>0</v>
      </c>
      <c r="E37" s="84">
        <v>0</v>
      </c>
      <c r="F37" s="84">
        <v>0</v>
      </c>
      <c r="G37" s="73">
        <v>1</v>
      </c>
      <c r="H37" s="85">
        <v>0</v>
      </c>
      <c r="I37" s="39">
        <f t="shared" si="0"/>
        <v>1</v>
      </c>
      <c r="J37" s="80">
        <v>1</v>
      </c>
    </row>
    <row r="38" spans="1:20" x14ac:dyDescent="0.3">
      <c r="C38" s="64">
        <v>8</v>
      </c>
      <c r="D38" s="84">
        <v>0</v>
      </c>
      <c r="E38" s="84">
        <v>0</v>
      </c>
      <c r="F38" s="84">
        <v>0</v>
      </c>
      <c r="G38" s="84">
        <v>0</v>
      </c>
      <c r="H38" s="77">
        <v>1</v>
      </c>
      <c r="I38" s="39">
        <f t="shared" si="0"/>
        <v>1</v>
      </c>
      <c r="J38" s="80">
        <v>1</v>
      </c>
    </row>
    <row r="39" spans="1:20" x14ac:dyDescent="0.3">
      <c r="C39" s="64">
        <v>9</v>
      </c>
      <c r="D39" s="73">
        <v>1</v>
      </c>
      <c r="E39" s="84">
        <v>0</v>
      </c>
      <c r="F39" s="84">
        <v>0</v>
      </c>
      <c r="G39" s="84">
        <v>0</v>
      </c>
      <c r="H39" s="85">
        <v>0</v>
      </c>
      <c r="I39" s="39">
        <f t="shared" si="0"/>
        <v>1</v>
      </c>
      <c r="J39" s="80">
        <v>1</v>
      </c>
    </row>
    <row r="40" spans="1:20" ht="15" thickBot="1" x14ac:dyDescent="0.35">
      <c r="C40" s="74">
        <v>10</v>
      </c>
      <c r="D40" s="86">
        <v>0</v>
      </c>
      <c r="E40" s="86">
        <v>0</v>
      </c>
      <c r="F40" s="86">
        <v>0</v>
      </c>
      <c r="G40" s="75">
        <v>1</v>
      </c>
      <c r="H40" s="87">
        <v>0</v>
      </c>
      <c r="I40" s="67">
        <f t="shared" si="0"/>
        <v>1</v>
      </c>
      <c r="J40" s="80">
        <v>1</v>
      </c>
    </row>
    <row r="41" spans="1:20" ht="15" thickBot="1" x14ac:dyDescent="0.35">
      <c r="C41" s="76" t="s">
        <v>212</v>
      </c>
      <c r="D41" s="36">
        <f>SUM(D31:D40)</f>
        <v>2</v>
      </c>
      <c r="E41" s="36">
        <f t="shared" ref="E41:H41" si="1">SUM(E31:E40)</f>
        <v>1</v>
      </c>
      <c r="F41" s="36">
        <f t="shared" si="1"/>
        <v>3</v>
      </c>
      <c r="G41" s="36">
        <f t="shared" si="1"/>
        <v>3</v>
      </c>
      <c r="H41" s="70">
        <f t="shared" si="1"/>
        <v>1</v>
      </c>
    </row>
    <row r="43" spans="1:20" x14ac:dyDescent="0.3">
      <c r="A43" t="s">
        <v>2</v>
      </c>
      <c r="B43" t="s">
        <v>54</v>
      </c>
      <c r="C43" t="s">
        <v>16</v>
      </c>
      <c r="D43">
        <f>0.1*1000</f>
        <v>100</v>
      </c>
      <c r="E43" s="100">
        <f>SUMPRODUCT(D45:H54,D31:H40,D61:H70)*D43</f>
        <v>547000</v>
      </c>
    </row>
    <row r="44" spans="1:20" x14ac:dyDescent="0.3">
      <c r="C44" s="64" t="s">
        <v>334</v>
      </c>
      <c r="D44" s="64" t="s">
        <v>0</v>
      </c>
      <c r="E44" s="64" t="s">
        <v>1</v>
      </c>
      <c r="F44" s="64" t="s">
        <v>53</v>
      </c>
      <c r="G44" s="64" t="s">
        <v>45</v>
      </c>
      <c r="H44" s="64" t="s">
        <v>332</v>
      </c>
    </row>
    <row r="45" spans="1:20" x14ac:dyDescent="0.3">
      <c r="C45" s="64">
        <v>1</v>
      </c>
      <c r="D45" s="64">
        <v>3.4</v>
      </c>
      <c r="E45" s="64">
        <v>1.4</v>
      </c>
      <c r="F45" s="64">
        <v>4.9000000000000004</v>
      </c>
      <c r="G45" s="64">
        <v>7.4</v>
      </c>
      <c r="H45" s="64">
        <v>9.3000000000000007</v>
      </c>
    </row>
    <row r="46" spans="1:20" x14ac:dyDescent="0.3">
      <c r="C46" s="64">
        <v>2</v>
      </c>
      <c r="D46" s="64">
        <v>2.4</v>
      </c>
      <c r="E46" s="64">
        <v>2.1</v>
      </c>
      <c r="F46" s="64">
        <v>8.3000000000000007</v>
      </c>
      <c r="G46" s="64">
        <v>9.1</v>
      </c>
      <c r="H46" s="64">
        <v>8.8000000000000007</v>
      </c>
    </row>
    <row r="47" spans="1:20" x14ac:dyDescent="0.3">
      <c r="C47" s="64">
        <v>3</v>
      </c>
      <c r="D47" s="64">
        <v>1.4</v>
      </c>
      <c r="E47" s="64">
        <v>2.9</v>
      </c>
      <c r="F47" s="64">
        <v>3.7</v>
      </c>
      <c r="G47" s="64">
        <v>9.4</v>
      </c>
      <c r="H47" s="64">
        <v>8.6</v>
      </c>
    </row>
    <row r="48" spans="1:20" x14ac:dyDescent="0.3">
      <c r="C48" s="64">
        <v>4</v>
      </c>
      <c r="D48" s="64">
        <v>2.6</v>
      </c>
      <c r="E48" s="64">
        <v>3.6</v>
      </c>
      <c r="F48" s="64">
        <v>4.5</v>
      </c>
      <c r="G48" s="64">
        <v>8.1999999999999993</v>
      </c>
      <c r="H48" s="64">
        <v>8.9</v>
      </c>
    </row>
    <row r="49" spans="1:8" x14ac:dyDescent="0.3">
      <c r="C49" s="64">
        <v>5</v>
      </c>
      <c r="D49" s="64">
        <v>1.5</v>
      </c>
      <c r="E49" s="64">
        <v>3.1</v>
      </c>
      <c r="F49" s="64">
        <v>2.1</v>
      </c>
      <c r="G49" s="64">
        <v>7.9</v>
      </c>
      <c r="H49" s="64">
        <v>8.8000000000000007</v>
      </c>
    </row>
    <row r="50" spans="1:8" x14ac:dyDescent="0.3">
      <c r="C50" s="64">
        <v>6</v>
      </c>
      <c r="D50" s="64">
        <v>4.2</v>
      </c>
      <c r="E50" s="64">
        <v>4.9000000000000004</v>
      </c>
      <c r="F50" s="64">
        <v>6.5</v>
      </c>
      <c r="G50" s="64">
        <v>7.7</v>
      </c>
      <c r="H50" s="64">
        <v>6.1</v>
      </c>
    </row>
    <row r="51" spans="1:8" x14ac:dyDescent="0.3">
      <c r="C51" s="64">
        <v>7</v>
      </c>
      <c r="D51" s="64">
        <v>4.8</v>
      </c>
      <c r="E51" s="64">
        <v>6.2</v>
      </c>
      <c r="F51" s="64">
        <v>9.9</v>
      </c>
      <c r="G51" s="64">
        <v>6.2</v>
      </c>
      <c r="H51" s="64">
        <v>5.7</v>
      </c>
    </row>
    <row r="52" spans="1:8" x14ac:dyDescent="0.3">
      <c r="C52" s="64">
        <v>8</v>
      </c>
      <c r="D52" s="64">
        <v>5.4</v>
      </c>
      <c r="E52" s="64">
        <v>6</v>
      </c>
      <c r="F52" s="64">
        <v>5.2</v>
      </c>
      <c r="G52" s="64">
        <v>7.6</v>
      </c>
      <c r="H52" s="64">
        <v>4.9000000000000004</v>
      </c>
    </row>
    <row r="53" spans="1:8" x14ac:dyDescent="0.3">
      <c r="C53" s="64">
        <v>9</v>
      </c>
      <c r="D53" s="64">
        <v>3.1</v>
      </c>
      <c r="E53" s="64">
        <v>4.0999999999999996</v>
      </c>
      <c r="F53" s="64">
        <v>6.6</v>
      </c>
      <c r="G53" s="64">
        <v>7.5</v>
      </c>
      <c r="H53" s="64">
        <v>7.2</v>
      </c>
    </row>
    <row r="54" spans="1:8" x14ac:dyDescent="0.3">
      <c r="C54" s="64">
        <v>10</v>
      </c>
      <c r="D54" s="64">
        <v>3.2</v>
      </c>
      <c r="E54" s="64">
        <v>6.5</v>
      </c>
      <c r="F54" s="64">
        <v>7.1</v>
      </c>
      <c r="G54" s="64">
        <v>6</v>
      </c>
      <c r="H54" s="64">
        <v>8.3000000000000007</v>
      </c>
    </row>
    <row r="57" spans="1:8" ht="15" thickBot="1" x14ac:dyDescent="0.35">
      <c r="A57" t="s">
        <v>46</v>
      </c>
      <c r="C57" s="102" t="s">
        <v>331</v>
      </c>
      <c r="D57" s="74" t="s">
        <v>0</v>
      </c>
      <c r="E57" s="74" t="s">
        <v>1</v>
      </c>
      <c r="F57" s="74" t="s">
        <v>53</v>
      </c>
      <c r="G57" s="74" t="s">
        <v>45</v>
      </c>
      <c r="H57" s="74" t="s">
        <v>332</v>
      </c>
    </row>
    <row r="58" spans="1:8" ht="15" thickBot="1" x14ac:dyDescent="0.35">
      <c r="C58" s="103" t="s">
        <v>365</v>
      </c>
      <c r="D58" s="104">
        <v>350</v>
      </c>
      <c r="E58" s="104">
        <v>250</v>
      </c>
      <c r="F58" s="104">
        <v>500</v>
      </c>
      <c r="G58" s="104">
        <v>400</v>
      </c>
      <c r="H58" s="105">
        <v>200</v>
      </c>
    </row>
    <row r="60" spans="1:8" x14ac:dyDescent="0.3">
      <c r="C60" s="64" t="s">
        <v>366</v>
      </c>
      <c r="D60" s="64" t="s">
        <v>0</v>
      </c>
      <c r="E60" s="64" t="s">
        <v>1</v>
      </c>
      <c r="F60" s="64" t="s">
        <v>53</v>
      </c>
      <c r="G60" s="64" t="s">
        <v>45</v>
      </c>
      <c r="H60" s="64" t="s">
        <v>332</v>
      </c>
    </row>
    <row r="61" spans="1:8" x14ac:dyDescent="0.3">
      <c r="C61" s="64">
        <v>1</v>
      </c>
      <c r="D61" s="64">
        <v>153</v>
      </c>
      <c r="E61" s="64">
        <v>153</v>
      </c>
      <c r="F61" s="64">
        <v>153</v>
      </c>
      <c r="G61" s="64">
        <v>153</v>
      </c>
      <c r="H61" s="64">
        <v>153</v>
      </c>
    </row>
    <row r="62" spans="1:8" x14ac:dyDescent="0.3">
      <c r="C62" s="64">
        <v>2</v>
      </c>
      <c r="D62" s="64">
        <v>152</v>
      </c>
      <c r="E62" s="64">
        <v>152</v>
      </c>
      <c r="F62" s="64">
        <v>152</v>
      </c>
      <c r="G62" s="64">
        <v>152</v>
      </c>
      <c r="H62" s="64">
        <v>152</v>
      </c>
    </row>
    <row r="63" spans="1:8" x14ac:dyDescent="0.3">
      <c r="C63" s="64">
        <v>3</v>
      </c>
      <c r="D63" s="64">
        <v>154</v>
      </c>
      <c r="E63" s="64">
        <v>154</v>
      </c>
      <c r="F63" s="64">
        <v>154</v>
      </c>
      <c r="G63" s="64">
        <v>154</v>
      </c>
      <c r="H63" s="64">
        <v>154</v>
      </c>
    </row>
    <row r="64" spans="1:8" x14ac:dyDescent="0.3">
      <c r="C64" s="64">
        <v>4</v>
      </c>
      <c r="D64" s="64">
        <v>138</v>
      </c>
      <c r="E64" s="64">
        <v>138</v>
      </c>
      <c r="F64" s="64">
        <v>138</v>
      </c>
      <c r="G64" s="64">
        <v>138</v>
      </c>
      <c r="H64" s="64">
        <v>138</v>
      </c>
    </row>
    <row r="65" spans="3:8" x14ac:dyDescent="0.3">
      <c r="C65" s="64">
        <v>5</v>
      </c>
      <c r="D65" s="64">
        <v>127</v>
      </c>
      <c r="E65" s="64">
        <v>127</v>
      </c>
      <c r="F65" s="64">
        <v>127</v>
      </c>
      <c r="G65" s="64">
        <v>127</v>
      </c>
      <c r="H65" s="64">
        <v>127</v>
      </c>
    </row>
    <row r="66" spans="3:8" x14ac:dyDescent="0.3">
      <c r="C66" s="64">
        <v>6</v>
      </c>
      <c r="D66" s="64">
        <v>129</v>
      </c>
      <c r="E66" s="64">
        <v>129</v>
      </c>
      <c r="F66" s="64">
        <v>129</v>
      </c>
      <c r="G66" s="64">
        <v>129</v>
      </c>
      <c r="H66" s="64">
        <v>129</v>
      </c>
    </row>
    <row r="67" spans="3:8" x14ac:dyDescent="0.3">
      <c r="C67" s="64">
        <v>7</v>
      </c>
      <c r="D67" s="64">
        <v>111</v>
      </c>
      <c r="E67" s="64">
        <v>111</v>
      </c>
      <c r="F67" s="64">
        <v>111</v>
      </c>
      <c r="G67" s="64">
        <v>111</v>
      </c>
      <c r="H67" s="64">
        <v>111</v>
      </c>
    </row>
    <row r="68" spans="3:8" x14ac:dyDescent="0.3">
      <c r="C68" s="64">
        <v>8</v>
      </c>
      <c r="D68" s="64">
        <v>110</v>
      </c>
      <c r="E68" s="64">
        <v>110</v>
      </c>
      <c r="F68" s="64">
        <v>110</v>
      </c>
      <c r="G68" s="64">
        <v>110</v>
      </c>
      <c r="H68" s="64">
        <v>110</v>
      </c>
    </row>
    <row r="69" spans="3:8" x14ac:dyDescent="0.3">
      <c r="C69" s="64">
        <v>9</v>
      </c>
      <c r="D69" s="64">
        <v>130</v>
      </c>
      <c r="E69" s="64">
        <v>130</v>
      </c>
      <c r="F69" s="64">
        <v>130</v>
      </c>
      <c r="G69" s="64">
        <v>130</v>
      </c>
      <c r="H69" s="64">
        <v>130</v>
      </c>
    </row>
    <row r="70" spans="3:8" ht="15" thickBot="1" x14ac:dyDescent="0.35">
      <c r="C70" s="74">
        <v>10</v>
      </c>
      <c r="D70" s="64">
        <v>135</v>
      </c>
      <c r="E70" s="64">
        <v>135</v>
      </c>
      <c r="F70" s="64">
        <v>135</v>
      </c>
      <c r="G70" s="64">
        <v>135</v>
      </c>
      <c r="H70" s="64">
        <v>135</v>
      </c>
    </row>
    <row r="71" spans="3:8" ht="15" thickBot="1" x14ac:dyDescent="0.35">
      <c r="C71" s="41" t="s">
        <v>379</v>
      </c>
      <c r="D71" s="101">
        <f>SUMPRODUCT(D61:D70,D31:D40)</f>
        <v>282</v>
      </c>
      <c r="E71" s="36">
        <f t="shared" ref="E71:G71" si="2">SUMPRODUCT(E61:E70,E31:E40)</f>
        <v>153</v>
      </c>
      <c r="F71" s="36">
        <f t="shared" si="2"/>
        <v>419</v>
      </c>
      <c r="G71" s="36">
        <f t="shared" si="2"/>
        <v>375</v>
      </c>
      <c r="H71" s="36">
        <f>SUMPRODUCT(H61:H70,H31:H40)</f>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Manufacturing and Distribution</vt:lpstr>
      <vt:lpstr>Investment Portfolios</vt:lpstr>
      <vt:lpstr>Project Selection</vt:lpstr>
      <vt:lpstr>Production Scheduling</vt:lpstr>
      <vt:lpstr>Inventory Management</vt:lpstr>
      <vt:lpstr>Assembly Line Equipment</vt:lpstr>
      <vt:lpstr>Lockbox Problem-Linear</vt:lpstr>
      <vt:lpstr>Inventory Depletion</vt:lpstr>
      <vt:lpstr>Snow Removal</vt:lpstr>
      <vt:lpstr>Golf Bags</vt:lpstr>
      <vt:lpstr>Bike Frames</vt:lpstr>
      <vt:lpstr>Crushing Rocks</vt:lpstr>
      <vt:lpstr>Crushing More Rocks</vt:lpstr>
      <vt:lpstr>Hospital Scheduling</vt:lpstr>
      <vt:lpstr>Butter</vt:lpstr>
      <vt:lpstr>Pet Food</vt:lpstr>
      <vt:lpstr>Lockbox Problem-Non-Linear</vt:lpstr>
      <vt:lpstr>Farming</vt:lpstr>
      <vt:lpstr>Union Busting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Anugya Mishra</dc:creator>
  <cp:lastModifiedBy>Anugya Mishra</cp:lastModifiedBy>
  <dcterms:created xsi:type="dcterms:W3CDTF">2024-01-11T23:26:12Z</dcterms:created>
  <dcterms:modified xsi:type="dcterms:W3CDTF">2025-02-24T01:17:37Z</dcterms:modified>
</cp:coreProperties>
</file>