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nzhiii/Documents/只只/MMA/MMA861/Team Project/"/>
    </mc:Choice>
  </mc:AlternateContent>
  <xr:revisionPtr revIDLastSave="0" documentId="13_ncr:1_{A5A90CF3-01D3-5644-AB67-4353FF5C8C78}" xr6:coauthVersionLast="47" xr6:coauthVersionMax="47" xr10:uidLastSave="{00000000-0000-0000-0000-000000000000}"/>
  <bookViews>
    <workbookView xWindow="0" yWindow="460" windowWidth="28800" windowHeight="15780" tabRatio="729" xr2:uid="{00000000-000D-0000-FFFF-FFFF00000000}"/>
  </bookViews>
  <sheets>
    <sheet name="Non LP Model" sheetId="17" r:id="rId1"/>
    <sheet name="Data - Dij" sheetId="37" r:id="rId2"/>
    <sheet name="Fixed Cost" sheetId="38" r:id="rId3"/>
    <sheet name="Variable Cost" sheetId="41" r:id="rId4"/>
    <sheet name="Data by Country" sheetId="42" r:id="rId5"/>
  </sheets>
  <definedNames>
    <definedName name="_xlnm.Print_Area" localSheetId="0">'Non LP Model'!$A$1:$G$13</definedName>
    <definedName name="solver_adj" localSheetId="0" hidden="1">'Non LP Model'!$B$4:$G$11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vg" localSheetId="0" hidden="1">0.001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0" localSheetId="0" hidden="1">'Non LP Model'!$C$19:$C$24</definedName>
    <definedName name="solver_lhs1" localSheetId="0" hidden="1">'Non LP Model'!$B$4:$G$11</definedName>
    <definedName name="solver_lhs2" localSheetId="0" hidden="1">'Non LP Model'!$B$4:$G$11</definedName>
    <definedName name="solver_lhs3" localSheetId="0" hidden="1">'Non LP Model'!$D$40</definedName>
    <definedName name="solver_lhs4" localSheetId="0" hidden="1">'Non LP Model'!$E$4:$G$11</definedName>
    <definedName name="solver_lhs5" localSheetId="0" hidden="1">'Non LP Model'!$F$18:$H$25</definedName>
    <definedName name="solver_lhs6" localSheetId="0" hidden="1">'Non LP Model'!$N$4:$O$11</definedName>
    <definedName name="solver_lhs7" localSheetId="0" hidden="1">'Non LP Model'!#REF!</definedName>
    <definedName name="solver_lhs8" localSheetId="0" hidden="1">'Non LP Model'!#REF!</definedName>
    <definedName name="solver_lin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mtr" localSheetId="0" hidden="1">0</definedName>
    <definedName name="solver_neg" localSheetId="0" hidden="1">2</definedName>
    <definedName name="solver_nod" localSheetId="0" hidden="1">1000</definedName>
    <definedName name="solver_num" localSheetId="0" hidden="1">5</definedName>
    <definedName name="solver_nwt" localSheetId="0" hidden="1">1</definedName>
    <definedName name="solver_ofx" localSheetId="0" hidden="1">2</definedName>
    <definedName name="solver_opt" localSheetId="0" hidden="1">'Non LP Model'!$D$40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0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5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o" localSheetId="0" hidden="1">2</definedName>
    <definedName name="solver_rep" localSheetId="0" hidden="1">2</definedName>
    <definedName name="solver_rhs0" localSheetId="0" hidden="1">'Non LP Model'!$H$19:$H$24</definedName>
    <definedName name="solver_rhs1" localSheetId="0" hidden="1">'Non LP Model'!$R$4:$W$11</definedName>
    <definedName name="solver_rhs2" localSheetId="0" hidden="1">'Non LP Model'!$Y$4:$AD$11</definedName>
    <definedName name="solver_rhs3" localSheetId="0" hidden="1">'Non LP Model'!$K$57</definedName>
    <definedName name="solver_rhs4" localSheetId="0" hidden="1">"binary"</definedName>
    <definedName name="solver_rhs5" localSheetId="0" hidden="1">'Non LP Model'!$J$18:$L$25</definedName>
    <definedName name="solver_rhs6" localSheetId="0" hidden="1">'Non LP Model'!$P$4:$Q$11</definedName>
    <definedName name="solver_rhs7" localSheetId="0" hidden="1">'Non LP Model'!#REF!</definedName>
    <definedName name="solver_rhs8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olver_vir" localSheetId="0" hidden="1">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1" l="1"/>
  <c r="C4" i="41"/>
  <c r="C5" i="41"/>
  <c r="C6" i="41"/>
  <c r="I51" i="17" s="1"/>
  <c r="C7" i="41"/>
  <c r="C8" i="41"/>
  <c r="C9" i="41"/>
  <c r="C2" i="41"/>
  <c r="G47" i="17" s="1"/>
  <c r="B3" i="38"/>
  <c r="B2" i="38"/>
  <c r="G11" i="42"/>
  <c r="G12" i="42"/>
  <c r="G13" i="42"/>
  <c r="G14" i="42"/>
  <c r="G15" i="42"/>
  <c r="G16" i="42"/>
  <c r="G17" i="42"/>
  <c r="G18" i="42"/>
  <c r="F12" i="42"/>
  <c r="F13" i="42"/>
  <c r="F14" i="42"/>
  <c r="F15" i="42"/>
  <c r="F16" i="42"/>
  <c r="F17" i="42"/>
  <c r="F18" i="42"/>
  <c r="F11" i="42"/>
  <c r="O4" i="17"/>
  <c r="O5" i="17"/>
  <c r="O6" i="17"/>
  <c r="O7" i="17"/>
  <c r="O8" i="17"/>
  <c r="O9" i="17"/>
  <c r="O10" i="17"/>
  <c r="O11" i="17"/>
  <c r="N5" i="17"/>
  <c r="N6" i="17"/>
  <c r="N7" i="17"/>
  <c r="N8" i="17"/>
  <c r="N9" i="17"/>
  <c r="N10" i="17"/>
  <c r="N11" i="17"/>
  <c r="N4" i="17"/>
  <c r="H48" i="17"/>
  <c r="H49" i="17"/>
  <c r="I53" i="17"/>
  <c r="L19" i="17"/>
  <c r="L20" i="17"/>
  <c r="L21" i="17"/>
  <c r="L22" i="17"/>
  <c r="L23" i="17"/>
  <c r="L24" i="17"/>
  <c r="L25" i="17"/>
  <c r="L18" i="17"/>
  <c r="K19" i="17"/>
  <c r="K20" i="17"/>
  <c r="K21" i="17"/>
  <c r="K22" i="17"/>
  <c r="K23" i="17"/>
  <c r="K24" i="17"/>
  <c r="K25" i="17"/>
  <c r="K18" i="17"/>
  <c r="J19" i="17"/>
  <c r="J20" i="17"/>
  <c r="J21" i="17"/>
  <c r="J22" i="17"/>
  <c r="J23" i="17"/>
  <c r="J24" i="17"/>
  <c r="J25" i="17"/>
  <c r="J18" i="17"/>
  <c r="C9" i="38"/>
  <c r="D48" i="17" s="1"/>
  <c r="C10" i="38"/>
  <c r="D49" i="17" s="1"/>
  <c r="C11" i="38"/>
  <c r="C50" i="17" s="1"/>
  <c r="C12" i="38"/>
  <c r="D51" i="17" s="1"/>
  <c r="C13" i="38"/>
  <c r="B52" i="17" s="1"/>
  <c r="C14" i="38"/>
  <c r="C53" i="17" s="1"/>
  <c r="C15" i="38"/>
  <c r="C54" i="17" s="1"/>
  <c r="C8" i="38"/>
  <c r="C47" i="17" s="1"/>
  <c r="C51" i="17"/>
  <c r="B47" i="17"/>
  <c r="H50" i="17"/>
  <c r="I50" i="17"/>
  <c r="H52" i="17"/>
  <c r="I52" i="17"/>
  <c r="H53" i="17"/>
  <c r="H54" i="17"/>
  <c r="I54" i="17"/>
  <c r="G50" i="17"/>
  <c r="G52" i="17"/>
  <c r="G54" i="17"/>
  <c r="L5" i="17"/>
  <c r="L6" i="17"/>
  <c r="L7" i="17"/>
  <c r="L8" i="17"/>
  <c r="L9" i="17"/>
  <c r="L10" i="17"/>
  <c r="L11" i="17"/>
  <c r="L4" i="17"/>
  <c r="K11" i="17"/>
  <c r="K5" i="17"/>
  <c r="K6" i="17"/>
  <c r="K7" i="17"/>
  <c r="K8" i="17"/>
  <c r="K9" i="17"/>
  <c r="K10" i="17"/>
  <c r="K4" i="17"/>
  <c r="J5" i="17"/>
  <c r="J6" i="17"/>
  <c r="J7" i="17"/>
  <c r="J8" i="17"/>
  <c r="J9" i="17"/>
  <c r="J10" i="17"/>
  <c r="J11" i="17"/>
  <c r="J4" i="17"/>
  <c r="C52" i="17" l="1"/>
  <c r="C48" i="17"/>
  <c r="L48" i="17" s="1"/>
  <c r="D52" i="17"/>
  <c r="B54" i="17"/>
  <c r="K54" i="17" s="1"/>
  <c r="B50" i="17"/>
  <c r="C49" i="17"/>
  <c r="L49" i="17" s="1"/>
  <c r="G51" i="17"/>
  <c r="H51" i="17"/>
  <c r="L51" i="17" s="1"/>
  <c r="I47" i="17"/>
  <c r="H47" i="17"/>
  <c r="L47" i="17" s="1"/>
  <c r="G48" i="17"/>
  <c r="I48" i="17"/>
  <c r="M48" i="17" s="1"/>
  <c r="G53" i="17"/>
  <c r="G49" i="17"/>
  <c r="I49" i="17"/>
  <c r="M49" i="17" s="1"/>
  <c r="B49" i="17"/>
  <c r="B53" i="17"/>
  <c r="D53" i="17"/>
  <c r="M53" i="17" s="1"/>
  <c r="B51" i="17"/>
  <c r="B48" i="17"/>
  <c r="D50" i="17"/>
  <c r="M50" i="17" s="1"/>
  <c r="D54" i="17"/>
  <c r="M54" i="17" s="1"/>
  <c r="D47" i="17"/>
  <c r="L52" i="17"/>
  <c r="L50" i="17"/>
  <c r="L54" i="17"/>
  <c r="M51" i="17"/>
  <c r="K50" i="17"/>
  <c r="L53" i="17"/>
  <c r="K52" i="17"/>
  <c r="K47" i="17"/>
  <c r="M52" i="17"/>
  <c r="K51" i="17" l="1"/>
  <c r="M47" i="17"/>
  <c r="K53" i="17"/>
  <c r="K48" i="17"/>
  <c r="K49" i="17"/>
  <c r="F20" i="41"/>
  <c r="F19" i="41"/>
  <c r="F18" i="17"/>
  <c r="I16" i="41"/>
  <c r="B35" i="17"/>
  <c r="C37" i="17"/>
  <c r="G25" i="17"/>
  <c r="D32" i="17"/>
  <c r="D33" i="17"/>
  <c r="D34" i="17"/>
  <c r="D35" i="17"/>
  <c r="D36" i="17"/>
  <c r="H24" i="17"/>
  <c r="H25" i="17"/>
  <c r="G19" i="17"/>
  <c r="C33" i="17"/>
  <c r="C34" i="17"/>
  <c r="C35" i="17"/>
  <c r="C36" i="17"/>
  <c r="G18" i="17"/>
  <c r="H18" i="17"/>
  <c r="F19" i="17"/>
  <c r="B33" i="17"/>
  <c r="B34" i="17"/>
  <c r="F23" i="17"/>
  <c r="B37" i="17"/>
  <c r="F25" i="17"/>
  <c r="L15" i="41"/>
  <c r="I15" i="41"/>
  <c r="L14" i="41"/>
  <c r="I14" i="41"/>
  <c r="L13" i="41"/>
  <c r="I13" i="41"/>
  <c r="B4" i="38"/>
  <c r="K57" i="17" l="1"/>
  <c r="G20" i="17"/>
  <c r="G23" i="17"/>
  <c r="B31" i="17"/>
  <c r="B36" i="17"/>
  <c r="H23" i="17"/>
  <c r="H22" i="17"/>
  <c r="C32" i="17"/>
  <c r="H19" i="17"/>
  <c r="F20" i="17"/>
  <c r="F24" i="17"/>
  <c r="B38" i="17"/>
  <c r="C31" i="17"/>
  <c r="D38" i="17"/>
  <c r="F22" i="17"/>
  <c r="G22" i="17"/>
  <c r="H21" i="17"/>
  <c r="G24" i="17"/>
  <c r="D31" i="17"/>
  <c r="C38" i="17"/>
  <c r="D37" i="17"/>
  <c r="F21" i="17"/>
  <c r="G21" i="17"/>
  <c r="H20" i="17"/>
  <c r="B32" i="17"/>
  <c r="L16" i="41"/>
  <c r="D40" i="17" l="1"/>
  <c r="G33" i="17" s="1"/>
  <c r="B18" i="17"/>
  <c r="B20" i="17"/>
  <c r="I32" i="17" l="1"/>
  <c r="D19" i="17" s="1"/>
  <c r="I37" i="17"/>
  <c r="D24" i="17" s="1"/>
  <c r="I31" i="17"/>
  <c r="D18" i="17" s="1"/>
  <c r="I35" i="17"/>
  <c r="D22" i="17" s="1"/>
  <c r="I33" i="17"/>
  <c r="D20" i="17" s="1"/>
  <c r="G36" i="17"/>
  <c r="B23" i="17" s="1"/>
  <c r="H35" i="17"/>
  <c r="C22" i="17" s="1"/>
  <c r="H34" i="17"/>
  <c r="C21" i="17" s="1"/>
  <c r="G32" i="17"/>
  <c r="B19" i="17" s="1"/>
  <c r="G37" i="17"/>
  <c r="B24" i="17" s="1"/>
  <c r="H37" i="17"/>
  <c r="C24" i="17" s="1"/>
  <c r="I36" i="17"/>
  <c r="D23" i="17" s="1"/>
  <c r="H38" i="17"/>
  <c r="C25" i="17" s="1"/>
  <c r="G35" i="17"/>
  <c r="B22" i="17" s="1"/>
  <c r="H32" i="17"/>
  <c r="C19" i="17" s="1"/>
  <c r="G34" i="17"/>
  <c r="B21" i="17" s="1"/>
  <c r="H33" i="17"/>
  <c r="C20" i="17" s="1"/>
  <c r="H36" i="17"/>
  <c r="C23" i="17" s="1"/>
  <c r="I38" i="17"/>
  <c r="D25" i="17" s="1"/>
  <c r="G38" i="17"/>
  <c r="B25" i="17" s="1"/>
  <c r="H31" i="17"/>
  <c r="C18" i="17" s="1"/>
  <c r="I34" i="17"/>
  <c r="D21" i="17" s="1"/>
  <c r="G31" i="17"/>
  <c r="D57" i="17"/>
  <c r="E20" i="17" l="1"/>
  <c r="E19" i="17"/>
  <c r="E25" i="17"/>
  <c r="E24" i="17"/>
  <c r="E23" i="17"/>
  <c r="E22" i="17"/>
  <c r="E21" i="17"/>
  <c r="E18" i="17"/>
</calcChain>
</file>

<file path=xl/sharedStrings.xml><?xml version="1.0" encoding="utf-8"?>
<sst xmlns="http://schemas.openxmlformats.org/spreadsheetml/2006/main" count="256" uniqueCount="85">
  <si>
    <t>Decision Variables - Plan Price / Country</t>
  </si>
  <si>
    <t>Binary Decision Variables - Plan Availability / Country</t>
  </si>
  <si>
    <t>Demand Based on Plan Price</t>
  </si>
  <si>
    <t>Plan</t>
  </si>
  <si>
    <t>Country</t>
  </si>
  <si>
    <t>Basic</t>
  </si>
  <si>
    <t>Standard</t>
  </si>
  <si>
    <t>Premium</t>
  </si>
  <si>
    <t xml:space="preserve">Argentina </t>
  </si>
  <si>
    <t>Brazil</t>
  </si>
  <si>
    <t>Canada</t>
  </si>
  <si>
    <t>Chile</t>
  </si>
  <si>
    <t>Colombia</t>
  </si>
  <si>
    <t>Costa Rica</t>
  </si>
  <si>
    <t>Mexico</t>
  </si>
  <si>
    <t>United States</t>
  </si>
  <si>
    <t>Constraints</t>
  </si>
  <si>
    <t>LHS</t>
  </si>
  <si>
    <t>RHS</t>
  </si>
  <si>
    <t>Proift - Basic</t>
  </si>
  <si>
    <t>Proift - Standard</t>
  </si>
  <si>
    <t>Proift - Premium</t>
  </si>
  <si>
    <t>Profit - Total</t>
  </si>
  <si>
    <t xml:space="preserve">Demand
Basic </t>
  </si>
  <si>
    <t>Demand
Standard</t>
  </si>
  <si>
    <t>Demand
Premium</t>
  </si>
  <si>
    <t>Positive Revenue</t>
  </si>
  <si>
    <t>Population
Basic (50%)</t>
  </si>
  <si>
    <t>Population
Standard (30%)</t>
  </si>
  <si>
    <t>Population
Premium (20%)</t>
  </si>
  <si>
    <t>Revenue / Country</t>
  </si>
  <si>
    <t>Revenue % / Country</t>
  </si>
  <si>
    <t>Fixed Cost / Country</t>
  </si>
  <si>
    <t>Variable Cost / Country</t>
  </si>
  <si>
    <t xml:space="preserve">Basic - 50% </t>
  </si>
  <si>
    <t>Standard - 30%</t>
  </si>
  <si>
    <t>Premium - 20%</t>
  </si>
  <si>
    <t>Max Total Profit</t>
  </si>
  <si>
    <t>a</t>
  </si>
  <si>
    <t>b</t>
  </si>
  <si>
    <t>Region</t>
  </si>
  <si>
    <t>Fixed Cost ($)</t>
  </si>
  <si>
    <t>North America</t>
  </si>
  <si>
    <t>Latin/South America</t>
  </si>
  <si>
    <t>Total Fixed Cost</t>
  </si>
  <si>
    <t>Fixed Cost by Region</t>
  </si>
  <si>
    <t>Variable Cost by Region</t>
  </si>
  <si>
    <t>Revenue (in M USD)</t>
  </si>
  <si>
    <t xml:space="preserve">Expenses </t>
  </si>
  <si>
    <t>% of Revenue</t>
  </si>
  <si>
    <t>Marketing Expenses</t>
  </si>
  <si>
    <t>Technology and Development</t>
  </si>
  <si>
    <t>General and Admin</t>
  </si>
  <si>
    <t>US and Canada Variable Cost</t>
  </si>
  <si>
    <t>Cost (in M USD)</t>
  </si>
  <si>
    <t xml:space="preserve">Latin Variable Cost </t>
  </si>
  <si>
    <t>Cost in M USD</t>
  </si>
  <si>
    <t>US and Canada</t>
  </si>
  <si>
    <t xml:space="preserve">Marketing </t>
  </si>
  <si>
    <t>Latin</t>
  </si>
  <si>
    <t>Tech</t>
  </si>
  <si>
    <t>General admin</t>
  </si>
  <si>
    <t>Total VC</t>
  </si>
  <si>
    <t>VC by Country</t>
  </si>
  <si>
    <t>Country_code</t>
  </si>
  <si>
    <t>Total Library Size</t>
  </si>
  <si>
    <t>Cost Per Month - Basic ($)</t>
  </si>
  <si>
    <t>Cost Per Month - Standard ($)</t>
  </si>
  <si>
    <t>Cost Per Month - Premium ($)</t>
  </si>
  <si>
    <t>#subscribers 2021Q2</t>
  </si>
  <si>
    <t>Average Monthly Revenue per Paying Membership - Q2 2021 ($)</t>
  </si>
  <si>
    <t>Country Population</t>
  </si>
  <si>
    <t>ar</t>
  </si>
  <si>
    <t>br</t>
  </si>
  <si>
    <t>ca</t>
  </si>
  <si>
    <t>cl</t>
  </si>
  <si>
    <t>co</t>
  </si>
  <si>
    <t>cr</t>
  </si>
  <si>
    <t>mx</t>
  </si>
  <si>
    <t>us</t>
  </si>
  <si>
    <t>Total Cost</t>
  </si>
  <si>
    <t>max total revenue</t>
  </si>
  <si>
    <t>Price Differences</t>
  </si>
  <si>
    <t>Variable Upper Bounds</t>
  </si>
  <si>
    <t>Variable 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</si>
</sst>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4" fillId="0" borderId="0" xfId="2" applyFont="1" applyAlignment="1">
      <alignment horizontal="left" vertical="top" wrapText="1"/>
    </xf>
    <xf numFmtId="0" fontId="3" fillId="0" borderId="0" xfId="2" applyAlignment="1">
      <alignment horizontal="left" vertical="top" wrapText="1"/>
    </xf>
    <xf numFmtId="0" fontId="4" fillId="6" borderId="0" xfId="2" applyFont="1" applyFill="1" applyAlignment="1">
      <alignment horizontal="left" vertical="top" wrapText="1"/>
    </xf>
    <xf numFmtId="0" fontId="3" fillId="6" borderId="0" xfId="2" applyFill="1" applyAlignment="1">
      <alignment horizontal="left" vertical="top" wrapText="1"/>
    </xf>
    <xf numFmtId="0" fontId="4" fillId="7" borderId="0" xfId="2" applyFont="1" applyFill="1" applyAlignment="1">
      <alignment horizontal="left" vertical="top"/>
    </xf>
    <xf numFmtId="164" fontId="0" fillId="0" borderId="0" xfId="3" applyNumberFormat="1" applyFont="1" applyAlignment="1">
      <alignment horizontal="left" vertical="top"/>
    </xf>
    <xf numFmtId="0" fontId="3" fillId="0" borderId="0" xfId="2" applyAlignment="1">
      <alignment horizontal="left" vertical="top"/>
    </xf>
    <xf numFmtId="164" fontId="4" fillId="6" borderId="0" xfId="3" applyNumberFormat="1" applyFont="1" applyFill="1" applyAlignment="1">
      <alignment horizontal="left" vertical="top"/>
    </xf>
    <xf numFmtId="11" fontId="3" fillId="6" borderId="0" xfId="2" applyNumberFormat="1" applyFill="1" applyAlignment="1">
      <alignment horizontal="left" vertical="top"/>
    </xf>
    <xf numFmtId="0" fontId="3" fillId="6" borderId="0" xfId="2" applyFill="1" applyAlignment="1">
      <alignment horizontal="left" vertical="top"/>
    </xf>
    <xf numFmtId="0" fontId="5" fillId="9" borderId="0" xfId="2" applyFont="1" applyFill="1" applyAlignment="1">
      <alignment horizontal="left" vertical="top" wrapText="1"/>
    </xf>
    <xf numFmtId="0" fontId="6" fillId="9" borderId="0" xfId="2" applyFont="1" applyFill="1" applyAlignment="1">
      <alignment horizontal="left" vertical="top" wrapText="1"/>
    </xf>
    <xf numFmtId="0" fontId="7" fillId="0" borderId="0" xfId="2" applyFont="1" applyAlignment="1">
      <alignment horizontal="left" vertical="top"/>
    </xf>
    <xf numFmtId="11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/>
    </xf>
    <xf numFmtId="0" fontId="8" fillId="0" borderId="0" xfId="2" applyFont="1"/>
    <xf numFmtId="44" fontId="8" fillId="0" borderId="0" xfId="2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9" fillId="4" borderId="2" xfId="0" applyNumberFormat="1" applyFont="1" applyFill="1" applyBorder="1" applyAlignment="1">
      <alignment horizontal="left"/>
    </xf>
    <xf numFmtId="3" fontId="9" fillId="5" borderId="2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164" fontId="10" fillId="0" borderId="0" xfId="0" applyNumberFormat="1" applyFont="1" applyAlignment="1">
      <alignment horizontal="left"/>
    </xf>
    <xf numFmtId="3" fontId="10" fillId="2" borderId="2" xfId="0" applyNumberFormat="1" applyFont="1" applyFill="1" applyBorder="1" applyAlignment="1">
      <alignment horizontal="left"/>
    </xf>
    <xf numFmtId="165" fontId="12" fillId="3" borderId="1" xfId="1" applyNumberFormat="1" applyFont="1" applyFill="1" applyBorder="1" applyAlignment="1">
      <alignment horizontal="left"/>
    </xf>
    <xf numFmtId="0" fontId="8" fillId="0" borderId="0" xfId="2" applyFont="1" applyAlignment="1">
      <alignment horizontal="left" vertical="top" wrapText="1"/>
    </xf>
    <xf numFmtId="44" fontId="10" fillId="0" borderId="0" xfId="4" applyFont="1" applyFill="1" applyBorder="1"/>
    <xf numFmtId="3" fontId="10" fillId="5" borderId="2" xfId="0" applyNumberFormat="1" applyFont="1" applyFill="1" applyBorder="1" applyAlignment="1">
      <alignment horizontal="left"/>
    </xf>
    <xf numFmtId="0" fontId="8" fillId="0" borderId="0" xfId="5" applyFont="1" applyAlignment="1">
      <alignment horizontal="left"/>
    </xf>
    <xf numFmtId="0" fontId="6" fillId="0" borderId="0" xfId="5" applyFont="1" applyAlignment="1">
      <alignment horizontal="left"/>
    </xf>
    <xf numFmtId="0" fontId="8" fillId="0" borderId="0" xfId="2" applyFont="1" applyAlignment="1">
      <alignment horizontal="left"/>
    </xf>
    <xf numFmtId="0" fontId="6" fillId="8" borderId="0" xfId="5" applyFont="1" applyFill="1" applyAlignment="1">
      <alignment horizontal="left"/>
    </xf>
    <xf numFmtId="0" fontId="8" fillId="5" borderId="0" xfId="5" applyFont="1" applyFill="1" applyAlignment="1">
      <alignment horizontal="left"/>
    </xf>
    <xf numFmtId="3" fontId="9" fillId="4" borderId="2" xfId="0" applyNumberFormat="1" applyFont="1" applyFill="1" applyBorder="1" applyAlignment="1">
      <alignment horizontal="left" vertical="top"/>
    </xf>
    <xf numFmtId="3" fontId="13" fillId="4" borderId="2" xfId="0" applyNumberFormat="1" applyFont="1" applyFill="1" applyBorder="1" applyAlignment="1">
      <alignment horizontal="left" vertical="top"/>
    </xf>
    <xf numFmtId="3" fontId="9" fillId="4" borderId="2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left"/>
    </xf>
    <xf numFmtId="44" fontId="8" fillId="0" borderId="0" xfId="1" applyFont="1" applyAlignment="1">
      <alignment horizontal="left"/>
    </xf>
    <xf numFmtId="44" fontId="8" fillId="0" borderId="0" xfId="1" applyFont="1"/>
    <xf numFmtId="44" fontId="9" fillId="5" borderId="2" xfId="1" applyFont="1" applyFill="1" applyBorder="1" applyAlignment="1">
      <alignment horizontal="left"/>
    </xf>
    <xf numFmtId="44" fontId="10" fillId="0" borderId="0" xfId="0" applyNumberFormat="1" applyFont="1" applyAlignment="1">
      <alignment horizontal="left"/>
    </xf>
    <xf numFmtId="3" fontId="9" fillId="4" borderId="3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9" fillId="0" borderId="0" xfId="0" applyFont="1" applyAlignment="1">
      <alignment horizontal="left"/>
    </xf>
  </cellXfs>
  <cellStyles count="6">
    <cellStyle name="Comma 2" xfId="3" xr:uid="{1DDB81AE-A814-45AF-8245-208E5AD22EB7}"/>
    <cellStyle name="Currency" xfId="1" builtinId="4"/>
    <cellStyle name="Currency 2" xfId="4" xr:uid="{972CC4ED-A9CB-4621-B16B-3ADE018BF90F}"/>
    <cellStyle name="Normal" xfId="0" builtinId="0"/>
    <cellStyle name="Normal 2" xfId="2" xr:uid="{B33D2F1F-AB04-48BE-A7C5-41CD452FF310}"/>
    <cellStyle name="Normal 3" xfId="5" xr:uid="{618E084C-542D-4A2D-B29F-B48DC2B3C9B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57"/>
  <sheetViews>
    <sheetView showGridLines="0" tabSelected="1" zoomScaleNormal="100" workbookViewId="0">
      <selection activeCell="E12" sqref="E12"/>
    </sheetView>
  </sheetViews>
  <sheetFormatPr baseColWidth="10" defaultColWidth="9.1640625" defaultRowHeight="14" x14ac:dyDescent="0.2"/>
  <cols>
    <col min="1" max="1" width="14" style="19" customWidth="1"/>
    <col min="2" max="2" width="15" style="19" customWidth="1"/>
    <col min="3" max="3" width="14.6640625" style="19" customWidth="1"/>
    <col min="4" max="4" width="15.33203125" style="19" customWidth="1"/>
    <col min="5" max="5" width="12.33203125" style="19" customWidth="1"/>
    <col min="6" max="6" width="16.1640625" style="19" customWidth="1"/>
    <col min="7" max="7" width="15.1640625" style="19" customWidth="1"/>
    <col min="8" max="8" width="15.5" style="19" customWidth="1"/>
    <col min="9" max="9" width="15.83203125" style="19" customWidth="1"/>
    <col min="10" max="10" width="14.1640625" style="19" customWidth="1"/>
    <col min="11" max="11" width="13.83203125" style="19" customWidth="1"/>
    <col min="12" max="12" width="11.5" style="19" customWidth="1"/>
    <col min="13" max="13" width="13" style="19" customWidth="1"/>
    <col min="14" max="14" width="14.83203125" style="19" customWidth="1"/>
    <col min="15" max="15" width="11.6640625" style="19" customWidth="1"/>
    <col min="16" max="16" width="10.6640625" style="19" bestFit="1" customWidth="1"/>
    <col min="17" max="17" width="10.33203125" style="19" bestFit="1" customWidth="1"/>
    <col min="18" max="18" width="7.6640625" style="19" bestFit="1" customWidth="1"/>
    <col min="19" max="19" width="9" style="19" bestFit="1" customWidth="1"/>
    <col min="20" max="20" width="9.33203125" style="19" bestFit="1" customWidth="1"/>
    <col min="21" max="21" width="10.6640625" style="19" bestFit="1" customWidth="1"/>
    <col min="22" max="24" width="10.6640625" style="19" customWidth="1"/>
    <col min="25" max="16384" width="9.1640625" style="19"/>
  </cols>
  <sheetData>
    <row r="1" spans="1:30" x14ac:dyDescent="0.2">
      <c r="A1" s="18" t="s">
        <v>0</v>
      </c>
      <c r="F1" s="18" t="s">
        <v>1</v>
      </c>
      <c r="K1" s="18" t="s">
        <v>2</v>
      </c>
      <c r="N1" s="19" t="s">
        <v>82</v>
      </c>
      <c r="R1" s="19" t="s">
        <v>83</v>
      </c>
      <c r="Y1" s="19" t="s">
        <v>84</v>
      </c>
    </row>
    <row r="2" spans="1:30" x14ac:dyDescent="0.2">
      <c r="A2" s="20"/>
      <c r="B2" s="46" t="s">
        <v>3</v>
      </c>
      <c r="C2" s="47"/>
      <c r="D2" s="48"/>
      <c r="E2" s="46" t="s">
        <v>3</v>
      </c>
      <c r="F2" s="47"/>
      <c r="G2" s="48"/>
      <c r="I2" s="20"/>
      <c r="J2" s="46" t="s">
        <v>3</v>
      </c>
      <c r="K2" s="47"/>
      <c r="L2" s="48"/>
    </row>
    <row r="3" spans="1:30" x14ac:dyDescent="0.2">
      <c r="A3" s="20" t="s">
        <v>4</v>
      </c>
      <c r="B3" s="20" t="s">
        <v>5</v>
      </c>
      <c r="C3" s="20" t="s">
        <v>6</v>
      </c>
      <c r="D3" s="20" t="s">
        <v>7</v>
      </c>
      <c r="E3" s="20" t="s">
        <v>5</v>
      </c>
      <c r="F3" s="20" t="s">
        <v>6</v>
      </c>
      <c r="G3" s="20" t="s">
        <v>7</v>
      </c>
      <c r="I3" s="20" t="s">
        <v>4</v>
      </c>
      <c r="J3" s="20" t="s">
        <v>5</v>
      </c>
      <c r="K3" s="20" t="s">
        <v>6</v>
      </c>
      <c r="L3" s="20" t="s">
        <v>7</v>
      </c>
      <c r="N3" s="19" t="s">
        <v>17</v>
      </c>
      <c r="O3" s="19" t="s">
        <v>17</v>
      </c>
      <c r="P3" s="19" t="s">
        <v>18</v>
      </c>
      <c r="Q3" s="19" t="s">
        <v>18</v>
      </c>
    </row>
    <row r="4" spans="1:30" x14ac:dyDescent="0.2">
      <c r="A4" s="21" t="s">
        <v>8</v>
      </c>
      <c r="B4" s="44">
        <v>3.4298171454863402</v>
      </c>
      <c r="C4" s="44">
        <v>4.4552203095972143</v>
      </c>
      <c r="D4" s="44">
        <v>5.8437994469539412</v>
      </c>
      <c r="E4" s="21">
        <v>1</v>
      </c>
      <c r="F4" s="21">
        <v>1</v>
      </c>
      <c r="G4" s="21">
        <v>1</v>
      </c>
      <c r="I4" s="21" t="s">
        <v>8</v>
      </c>
      <c r="J4" s="31">
        <f>'Data - Dij'!$B2*EXP('Data - Dij'!$C2*B4)</f>
        <v>18366280.446457904</v>
      </c>
      <c r="K4" s="31">
        <f>'Data - Dij'!$B2*EXP('Data - Dij'!$C2*C4)</f>
        <v>13613999.999999998</v>
      </c>
      <c r="L4" s="31">
        <f>'Data - Dij'!$B2*EXP('Data - Dij'!$C2*D4)</f>
        <v>9076000</v>
      </c>
      <c r="N4" s="45">
        <f>C4-B4</f>
        <v>1.0254031641108741</v>
      </c>
      <c r="O4" s="45">
        <f>D4-C4</f>
        <v>1.3885791373567269</v>
      </c>
      <c r="P4" s="19">
        <v>2</v>
      </c>
      <c r="Q4" s="19">
        <v>3</v>
      </c>
      <c r="R4" s="44">
        <v>10</v>
      </c>
      <c r="S4" s="44">
        <v>15</v>
      </c>
      <c r="T4" s="44">
        <v>20</v>
      </c>
      <c r="U4" s="19">
        <v>1</v>
      </c>
      <c r="V4" s="19">
        <v>1</v>
      </c>
      <c r="W4" s="19">
        <v>1</v>
      </c>
      <c r="Y4" s="44">
        <v>0</v>
      </c>
      <c r="Z4" s="44">
        <v>0</v>
      </c>
      <c r="AA4" s="44">
        <v>0</v>
      </c>
      <c r="AB4" s="19">
        <v>0</v>
      </c>
      <c r="AC4" s="19">
        <v>0</v>
      </c>
      <c r="AD4" s="19">
        <v>0</v>
      </c>
    </row>
    <row r="5" spans="1:30" x14ac:dyDescent="0.2">
      <c r="A5" s="21" t="s">
        <v>9</v>
      </c>
      <c r="B5" s="44">
        <v>3.0489213369317896</v>
      </c>
      <c r="C5" s="44">
        <v>3.4843832468479423</v>
      </c>
      <c r="D5" s="44">
        <v>4.72055735693381</v>
      </c>
      <c r="E5" s="21">
        <v>1</v>
      </c>
      <c r="F5" s="21">
        <v>1</v>
      </c>
      <c r="G5" s="21">
        <v>1</v>
      </c>
      <c r="I5" s="21" t="s">
        <v>9</v>
      </c>
      <c r="J5" s="31">
        <f>'Data - Dij'!$B3*EXP('Data - Dij'!$C3*B5)</f>
        <v>73572489.216128647</v>
      </c>
      <c r="K5" s="31">
        <f>'Data - Dij'!$B3*EXP('Data - Dij'!$C3*C5)</f>
        <v>63779999.999999993</v>
      </c>
      <c r="L5" s="31">
        <f>'Data - Dij'!$B3*EXP('Data - Dij'!$C3*D5)</f>
        <v>42519999.999999985</v>
      </c>
      <c r="N5" s="45">
        <f t="shared" ref="N5:O11" si="0">C5-B5</f>
        <v>0.43546190991615275</v>
      </c>
      <c r="O5" s="45">
        <f t="shared" si="0"/>
        <v>1.2361741100858676</v>
      </c>
      <c r="P5" s="19">
        <v>2</v>
      </c>
      <c r="Q5" s="19">
        <v>3</v>
      </c>
      <c r="R5" s="44">
        <v>10</v>
      </c>
      <c r="S5" s="44">
        <v>15</v>
      </c>
      <c r="T5" s="44">
        <v>20</v>
      </c>
      <c r="U5" s="19">
        <v>1</v>
      </c>
      <c r="V5" s="19">
        <v>1</v>
      </c>
      <c r="W5" s="19">
        <v>1</v>
      </c>
      <c r="Y5" s="44">
        <v>0</v>
      </c>
      <c r="Z5" s="44">
        <v>0</v>
      </c>
      <c r="AA5" s="44">
        <v>0</v>
      </c>
      <c r="AB5" s="19">
        <v>0</v>
      </c>
      <c r="AC5" s="19">
        <v>0</v>
      </c>
      <c r="AD5" s="19">
        <v>0</v>
      </c>
    </row>
    <row r="6" spans="1:30" x14ac:dyDescent="0.2">
      <c r="A6" s="21" t="s">
        <v>10</v>
      </c>
      <c r="B6" s="44">
        <v>8.2687853023873927</v>
      </c>
      <c r="C6" s="44">
        <v>10.458358128655957</v>
      </c>
      <c r="D6" s="44">
        <v>13.837234029557328</v>
      </c>
      <c r="E6" s="21">
        <v>1</v>
      </c>
      <c r="F6" s="21">
        <v>1</v>
      </c>
      <c r="G6" s="21">
        <v>1</v>
      </c>
      <c r="I6" s="21" t="s">
        <v>10</v>
      </c>
      <c r="J6" s="31">
        <f>'Data - Dij'!$B4*EXP('Data - Dij'!$C4*B6)</f>
        <v>14829600.510059753</v>
      </c>
      <c r="K6" s="31">
        <f>'Data - Dij'!$B4*EXP('Data - Dij'!$C4*C6)</f>
        <v>11403000</v>
      </c>
      <c r="L6" s="31">
        <f>'Data - Dij'!$B4*EXP('Data - Dij'!$C4*D6)</f>
        <v>7602000</v>
      </c>
      <c r="N6" s="45">
        <f t="shared" si="0"/>
        <v>2.1895728262685648</v>
      </c>
      <c r="O6" s="45">
        <f t="shared" si="0"/>
        <v>3.3788759009013702</v>
      </c>
      <c r="P6" s="19">
        <v>2</v>
      </c>
      <c r="Q6" s="19">
        <v>3</v>
      </c>
      <c r="R6" s="44">
        <v>10</v>
      </c>
      <c r="S6" s="44">
        <v>15</v>
      </c>
      <c r="T6" s="44">
        <v>20</v>
      </c>
      <c r="U6" s="19">
        <v>1</v>
      </c>
      <c r="V6" s="19">
        <v>1</v>
      </c>
      <c r="W6" s="19">
        <v>1</v>
      </c>
      <c r="Y6" s="44">
        <v>0</v>
      </c>
      <c r="Z6" s="44">
        <v>0</v>
      </c>
      <c r="AA6" s="44">
        <v>0</v>
      </c>
      <c r="AB6" s="19">
        <v>0</v>
      </c>
      <c r="AC6" s="19">
        <v>0</v>
      </c>
      <c r="AD6" s="19">
        <v>0</v>
      </c>
    </row>
    <row r="7" spans="1:30" x14ac:dyDescent="0.2">
      <c r="A7" s="21" t="s">
        <v>11</v>
      </c>
      <c r="B7" s="44">
        <v>4.580916876677481</v>
      </c>
      <c r="C7" s="44">
        <v>8.6204043148703935</v>
      </c>
      <c r="D7" s="44">
        <v>12.209162074441577</v>
      </c>
      <c r="E7" s="21">
        <v>1</v>
      </c>
      <c r="F7" s="21">
        <v>1</v>
      </c>
      <c r="G7" s="21">
        <v>1</v>
      </c>
      <c r="I7" s="21" t="s">
        <v>11</v>
      </c>
      <c r="J7" s="31">
        <f>'Data - Dij'!$B5*EXP('Data - Dij'!$C5*B7)</f>
        <v>3186058.6054748353</v>
      </c>
      <c r="K7" s="31">
        <f>'Data - Dij'!$B5*EXP('Data - Dij'!$C5*C7)</f>
        <v>630621.23591480474</v>
      </c>
      <c r="L7" s="31">
        <f>'Data - Dij'!$B5*EXP('Data - Dij'!$C5*D7)</f>
        <v>149547.42411452468</v>
      </c>
      <c r="N7" s="45">
        <f t="shared" si="0"/>
        <v>4.0394874381929124</v>
      </c>
      <c r="O7" s="45">
        <f t="shared" si="0"/>
        <v>3.5887577595711839</v>
      </c>
      <c r="P7" s="19">
        <v>2</v>
      </c>
      <c r="Q7" s="19">
        <v>3</v>
      </c>
      <c r="R7" s="44">
        <v>10</v>
      </c>
      <c r="S7" s="44">
        <v>15</v>
      </c>
      <c r="T7" s="44">
        <v>20</v>
      </c>
      <c r="U7" s="19">
        <v>1</v>
      </c>
      <c r="V7" s="19">
        <v>1</v>
      </c>
      <c r="W7" s="19">
        <v>1</v>
      </c>
      <c r="Y7" s="44">
        <v>0</v>
      </c>
      <c r="Z7" s="44">
        <v>0</v>
      </c>
      <c r="AA7" s="44">
        <v>0</v>
      </c>
      <c r="AB7" s="19">
        <v>0</v>
      </c>
      <c r="AC7" s="19">
        <v>0</v>
      </c>
      <c r="AD7" s="19">
        <v>0</v>
      </c>
    </row>
    <row r="8" spans="1:30" x14ac:dyDescent="0.2">
      <c r="A8" s="21" t="s">
        <v>12</v>
      </c>
      <c r="B8" s="44">
        <v>2.507027538503992</v>
      </c>
      <c r="C8" s="44">
        <v>3.1719174929335212</v>
      </c>
      <c r="D8" s="44">
        <v>4.4667179258800251</v>
      </c>
      <c r="E8" s="21">
        <v>1</v>
      </c>
      <c r="F8" s="21">
        <v>1</v>
      </c>
      <c r="G8" s="21">
        <v>1</v>
      </c>
      <c r="I8" s="21" t="s">
        <v>12</v>
      </c>
      <c r="J8" s="31">
        <f>'Data - Dij'!$B6*EXP('Data - Dij'!$C6*B8)</f>
        <v>21900719.534590852</v>
      </c>
      <c r="K8" s="31">
        <f>'Data - Dij'!$B6*EXP('Data - Dij'!$C6*C8)</f>
        <v>16763999.999999998</v>
      </c>
      <c r="L8" s="31">
        <f>'Data - Dij'!$B6*EXP('Data - Dij'!$C6*D8)</f>
        <v>9961463.0762902889</v>
      </c>
      <c r="N8" s="45">
        <f t="shared" si="0"/>
        <v>0.66488995442952925</v>
      </c>
      <c r="O8" s="45">
        <f t="shared" si="0"/>
        <v>1.2948004329465039</v>
      </c>
      <c r="P8" s="19">
        <v>2</v>
      </c>
      <c r="Q8" s="19">
        <v>3</v>
      </c>
      <c r="R8" s="44">
        <v>10</v>
      </c>
      <c r="S8" s="44">
        <v>15</v>
      </c>
      <c r="T8" s="44">
        <v>20</v>
      </c>
      <c r="U8" s="19">
        <v>1</v>
      </c>
      <c r="V8" s="19">
        <v>1</v>
      </c>
      <c r="W8" s="19">
        <v>1</v>
      </c>
      <c r="Y8" s="44">
        <v>0</v>
      </c>
      <c r="Z8" s="44">
        <v>0</v>
      </c>
      <c r="AA8" s="44">
        <v>0</v>
      </c>
      <c r="AB8" s="19">
        <v>0</v>
      </c>
      <c r="AC8" s="19">
        <v>0</v>
      </c>
      <c r="AD8" s="19">
        <v>0</v>
      </c>
    </row>
    <row r="9" spans="1:30" x14ac:dyDescent="0.2">
      <c r="A9" s="21" t="s">
        <v>13</v>
      </c>
      <c r="B9" s="44">
        <v>8.5769922202903572</v>
      </c>
      <c r="C9" s="44">
        <v>12.84549350839575</v>
      </c>
      <c r="D9" s="44">
        <v>15.930834438717998</v>
      </c>
      <c r="E9" s="21">
        <v>1</v>
      </c>
      <c r="F9" s="21">
        <v>1</v>
      </c>
      <c r="G9" s="21">
        <v>1</v>
      </c>
      <c r="I9" s="21" t="s">
        <v>13</v>
      </c>
      <c r="J9" s="31">
        <f>'Data - Dij'!$B7*EXP('Data - Dij'!$C7*B9)</f>
        <v>193739.24168916565</v>
      </c>
      <c r="K9" s="31">
        <f>'Data - Dij'!$B7*EXP('Data - Dij'!$C7*C9)</f>
        <v>38426.647019543227</v>
      </c>
      <c r="L9" s="31">
        <f>'Data - Dij'!$B7*EXP('Data - Dij'!$C7*D9)</f>
        <v>11934.184620911969</v>
      </c>
      <c r="N9" s="45">
        <f t="shared" si="0"/>
        <v>4.2685012881053925</v>
      </c>
      <c r="O9" s="45">
        <f t="shared" si="0"/>
        <v>3.0853409303222481</v>
      </c>
      <c r="P9" s="19">
        <v>2</v>
      </c>
      <c r="Q9" s="19">
        <v>3</v>
      </c>
      <c r="R9" s="44">
        <v>10</v>
      </c>
      <c r="S9" s="44">
        <v>15</v>
      </c>
      <c r="T9" s="44">
        <v>20</v>
      </c>
      <c r="U9" s="19">
        <v>1</v>
      </c>
      <c r="V9" s="19">
        <v>1</v>
      </c>
      <c r="W9" s="19">
        <v>1</v>
      </c>
      <c r="Y9" s="44">
        <v>0</v>
      </c>
      <c r="Z9" s="44">
        <v>0</v>
      </c>
      <c r="AA9" s="44">
        <v>0</v>
      </c>
      <c r="AB9" s="19">
        <v>0</v>
      </c>
      <c r="AC9" s="19">
        <v>0</v>
      </c>
      <c r="AD9" s="19">
        <v>0</v>
      </c>
    </row>
    <row r="10" spans="1:30" x14ac:dyDescent="0.2">
      <c r="A10" s="21" t="s">
        <v>14</v>
      </c>
      <c r="B10" s="44">
        <v>2.7456157023780645</v>
      </c>
      <c r="C10" s="44">
        <v>2.8152116787434665</v>
      </c>
      <c r="D10" s="44">
        <v>10.862214917677932</v>
      </c>
      <c r="E10" s="21">
        <v>1</v>
      </c>
      <c r="F10" s="21">
        <v>0.92547683002372982</v>
      </c>
      <c r="G10" s="21">
        <v>1</v>
      </c>
      <c r="I10" s="21" t="s">
        <v>14</v>
      </c>
      <c r="J10" s="31">
        <f>'Data - Dij'!$B8*EXP('Data - Dij'!$C8*B10)</f>
        <v>36708944.863721751</v>
      </c>
      <c r="K10" s="31">
        <f>'Data - Dij'!$B8*EXP('Data - Dij'!$C8*C10)</f>
        <v>35788189.0170177</v>
      </c>
      <c r="L10" s="31">
        <f>'Data - Dij'!$B8*EXP('Data - Dij'!$C8*D10)</f>
        <v>1897356.7645507634</v>
      </c>
      <c r="N10" s="45">
        <f t="shared" si="0"/>
        <v>6.9595976365401935E-2</v>
      </c>
      <c r="O10" s="45">
        <f t="shared" si="0"/>
        <v>8.0470032389344652</v>
      </c>
      <c r="P10" s="19">
        <v>2</v>
      </c>
      <c r="Q10" s="19">
        <v>3</v>
      </c>
      <c r="R10" s="44">
        <v>10</v>
      </c>
      <c r="S10" s="44">
        <v>15</v>
      </c>
      <c r="T10" s="44">
        <v>20</v>
      </c>
      <c r="U10" s="19">
        <v>1</v>
      </c>
      <c r="V10" s="19">
        <v>1</v>
      </c>
      <c r="W10" s="19">
        <v>1</v>
      </c>
      <c r="Y10" s="44">
        <v>0</v>
      </c>
      <c r="Z10" s="44">
        <v>0</v>
      </c>
      <c r="AA10" s="44">
        <v>0</v>
      </c>
      <c r="AB10" s="19">
        <v>0</v>
      </c>
      <c r="AC10" s="19">
        <v>0</v>
      </c>
      <c r="AD10" s="19">
        <v>0</v>
      </c>
    </row>
    <row r="11" spans="1:30" x14ac:dyDescent="0.2">
      <c r="A11" s="21" t="s">
        <v>15</v>
      </c>
      <c r="B11" s="44">
        <v>9.1743037623536061</v>
      </c>
      <c r="C11" s="44">
        <v>10.185127752656651</v>
      </c>
      <c r="D11" s="44">
        <v>13.904991129795775</v>
      </c>
      <c r="E11" s="21">
        <v>1</v>
      </c>
      <c r="F11" s="21">
        <v>1</v>
      </c>
      <c r="G11" s="21">
        <v>1</v>
      </c>
      <c r="I11" s="21" t="s">
        <v>15</v>
      </c>
      <c r="J11" s="31">
        <f>'Data - Dij'!$B9*EXP('Data - Dij'!$C9*B11)</f>
        <v>110363930.56463233</v>
      </c>
      <c r="K11" s="31">
        <f>'Data - Dij'!$B9*EXP('Data - Dij'!$C9*C11)</f>
        <v>98850000</v>
      </c>
      <c r="L11" s="31">
        <f>'Data - Dij'!$B9*EXP('Data - Dij'!$C9*D11)</f>
        <v>65900000</v>
      </c>
      <c r="N11" s="45">
        <f t="shared" si="0"/>
        <v>1.0108239903030452</v>
      </c>
      <c r="O11" s="45">
        <f t="shared" si="0"/>
        <v>3.7198633771391236</v>
      </c>
      <c r="P11" s="19">
        <v>2</v>
      </c>
      <c r="Q11" s="19">
        <v>3</v>
      </c>
      <c r="R11" s="44">
        <v>10</v>
      </c>
      <c r="S11" s="44">
        <v>15</v>
      </c>
      <c r="T11" s="44">
        <v>20</v>
      </c>
      <c r="U11" s="19">
        <v>1</v>
      </c>
      <c r="V11" s="19">
        <v>1</v>
      </c>
      <c r="W11" s="19">
        <v>1</v>
      </c>
      <c r="Y11" s="44">
        <v>0</v>
      </c>
      <c r="Z11" s="44">
        <v>0</v>
      </c>
      <c r="AA11" s="44">
        <v>0</v>
      </c>
      <c r="AB11" s="19">
        <v>0</v>
      </c>
      <c r="AC11" s="19">
        <v>0</v>
      </c>
      <c r="AD11" s="19">
        <v>0</v>
      </c>
    </row>
    <row r="15" spans="1:30" x14ac:dyDescent="0.2">
      <c r="A15" s="22" t="s">
        <v>16</v>
      </c>
    </row>
    <row r="16" spans="1:30" x14ac:dyDescent="0.2">
      <c r="B16" s="23" t="s">
        <v>17</v>
      </c>
      <c r="C16" s="23" t="s">
        <v>17</v>
      </c>
      <c r="D16" s="23" t="s">
        <v>17</v>
      </c>
      <c r="E16" s="23" t="s">
        <v>17</v>
      </c>
      <c r="F16" s="23" t="s">
        <v>17</v>
      </c>
      <c r="G16" s="23" t="s">
        <v>17</v>
      </c>
      <c r="H16" s="23" t="s">
        <v>17</v>
      </c>
      <c r="I16" s="23" t="s">
        <v>18</v>
      </c>
      <c r="J16" s="23" t="s">
        <v>18</v>
      </c>
      <c r="K16" s="23" t="s">
        <v>18</v>
      </c>
      <c r="L16" s="23" t="s">
        <v>18</v>
      </c>
    </row>
    <row r="17" spans="1:12" s="40" customFormat="1" ht="30" x14ac:dyDescent="0.15">
      <c r="A17" s="37" t="s">
        <v>4</v>
      </c>
      <c r="B17" s="38" t="s">
        <v>19</v>
      </c>
      <c r="C17" s="38" t="s">
        <v>20</v>
      </c>
      <c r="D17" s="38" t="s">
        <v>21</v>
      </c>
      <c r="E17" s="38" t="s">
        <v>22</v>
      </c>
      <c r="F17" s="39" t="s">
        <v>23</v>
      </c>
      <c r="G17" s="39" t="s">
        <v>24</v>
      </c>
      <c r="H17" s="39" t="s">
        <v>25</v>
      </c>
      <c r="I17" s="37" t="s">
        <v>26</v>
      </c>
      <c r="J17" s="39" t="s">
        <v>27</v>
      </c>
      <c r="K17" s="39" t="s">
        <v>28</v>
      </c>
      <c r="L17" s="39" t="s">
        <v>29</v>
      </c>
    </row>
    <row r="18" spans="1:12" x14ac:dyDescent="0.2">
      <c r="A18" s="24" t="s">
        <v>8</v>
      </c>
      <c r="B18" s="27">
        <f>B31-B47-G47</f>
        <v>27810890.40740516</v>
      </c>
      <c r="C18" s="27">
        <f t="shared" ref="C18:D25" si="1">C31-C47-H47</f>
        <v>25471276.128189795</v>
      </c>
      <c r="D18" s="27">
        <f t="shared" si="1"/>
        <v>17856230.613887303</v>
      </c>
      <c r="E18" s="27">
        <f>SUM(B18:D18)</f>
        <v>71138397.14948225</v>
      </c>
      <c r="F18" s="27">
        <f t="shared" ref="F18:H25" si="2">J4</f>
        <v>18366280.446457904</v>
      </c>
      <c r="G18" s="27">
        <f t="shared" si="2"/>
        <v>13613999.999999998</v>
      </c>
      <c r="H18" s="27">
        <f t="shared" si="2"/>
        <v>9076000</v>
      </c>
      <c r="I18" s="25">
        <v>0</v>
      </c>
      <c r="J18" s="25">
        <f>'Data by Country'!$J2*0.5*E4</f>
        <v>22690000</v>
      </c>
      <c r="K18" s="25">
        <f>'Data by Country'!$J2*0.3*F4</f>
        <v>13614000</v>
      </c>
      <c r="L18" s="25">
        <f>'Data by Country'!$J2*0.2*G4</f>
        <v>9076000</v>
      </c>
    </row>
    <row r="19" spans="1:12" x14ac:dyDescent="0.2">
      <c r="A19" s="24" t="s">
        <v>9</v>
      </c>
      <c r="B19" s="27">
        <f t="shared" ref="B19:B25" si="3">B32-B48-G48</f>
        <v>189134639.01557195</v>
      </c>
      <c r="C19" s="27">
        <f t="shared" si="1"/>
        <v>187051870.31729504</v>
      </c>
      <c r="D19" s="27">
        <f t="shared" si="1"/>
        <v>165536005.65015885</v>
      </c>
      <c r="E19" s="27">
        <f t="shared" ref="E19:E25" si="4">SUM(B19:D19)</f>
        <v>541722514.98302591</v>
      </c>
      <c r="F19" s="27">
        <f t="shared" si="2"/>
        <v>73572489.216128647</v>
      </c>
      <c r="G19" s="27">
        <f t="shared" si="2"/>
        <v>63779999.999999993</v>
      </c>
      <c r="H19" s="27">
        <f t="shared" si="2"/>
        <v>42519999.999999985</v>
      </c>
      <c r="I19" s="25">
        <v>0</v>
      </c>
      <c r="J19" s="25">
        <f>'Data by Country'!$J3*0.5*E5</f>
        <v>106300000</v>
      </c>
      <c r="K19" s="25">
        <f>'Data by Country'!$J3*0.3*F5</f>
        <v>63780000</v>
      </c>
      <c r="L19" s="25">
        <f>'Data by Country'!$J3*0.2*G5</f>
        <v>42520000</v>
      </c>
    </row>
    <row r="20" spans="1:12" x14ac:dyDescent="0.2">
      <c r="A20" s="24" t="s">
        <v>10</v>
      </c>
      <c r="B20" s="27">
        <f t="shared" si="3"/>
        <v>-122856062.678808</v>
      </c>
      <c r="C20" s="27">
        <f t="shared" si="1"/>
        <v>-126222187.67560279</v>
      </c>
      <c r="D20" s="27">
        <f t="shared" si="1"/>
        <v>-140288192.32397187</v>
      </c>
      <c r="E20" s="27">
        <f t="shared" si="4"/>
        <v>-389366442.67838264</v>
      </c>
      <c r="F20" s="27">
        <f t="shared" si="2"/>
        <v>14829600.510059753</v>
      </c>
      <c r="G20" s="27">
        <f t="shared" si="2"/>
        <v>11403000</v>
      </c>
      <c r="H20" s="27">
        <f t="shared" si="2"/>
        <v>7602000</v>
      </c>
      <c r="I20" s="25">
        <v>0</v>
      </c>
      <c r="J20" s="25">
        <f>'Data by Country'!$J4*0.5*E6</f>
        <v>19005000</v>
      </c>
      <c r="K20" s="25">
        <f>'Data by Country'!$J4*0.3*F6</f>
        <v>11403000</v>
      </c>
      <c r="L20" s="25">
        <f>'Data by Country'!$J4*0.2*G6</f>
        <v>7602000</v>
      </c>
    </row>
    <row r="21" spans="1:12" x14ac:dyDescent="0.2">
      <c r="A21" s="24" t="s">
        <v>11</v>
      </c>
      <c r="B21" s="27">
        <f t="shared" si="3"/>
        <v>-20587023.530763477</v>
      </c>
      <c r="C21" s="27">
        <f t="shared" si="1"/>
        <v>-29745883.143537786</v>
      </c>
      <c r="D21" s="27">
        <f t="shared" si="1"/>
        <v>-33356244.427837186</v>
      </c>
      <c r="E21" s="27">
        <f t="shared" si="4"/>
        <v>-83689151.10213846</v>
      </c>
      <c r="F21" s="27">
        <f t="shared" si="2"/>
        <v>3186058.6054748353</v>
      </c>
      <c r="G21" s="27">
        <f t="shared" si="2"/>
        <v>630621.23591480474</v>
      </c>
      <c r="H21" s="27">
        <f t="shared" si="2"/>
        <v>149547.42411452468</v>
      </c>
      <c r="I21" s="25">
        <v>0</v>
      </c>
      <c r="J21" s="25">
        <f>'Data by Country'!$J5*0.5*E7</f>
        <v>9560000</v>
      </c>
      <c r="K21" s="25">
        <f>'Data by Country'!$J5*0.3*F7</f>
        <v>5736000</v>
      </c>
      <c r="L21" s="25">
        <f>'Data by Country'!$J5*0.2*G7</f>
        <v>3824000</v>
      </c>
    </row>
    <row r="22" spans="1:12" x14ac:dyDescent="0.2">
      <c r="A22" s="24" t="s">
        <v>12</v>
      </c>
      <c r="B22" s="27">
        <f t="shared" si="3"/>
        <v>19723613.819604926</v>
      </c>
      <c r="C22" s="27">
        <f t="shared" si="1"/>
        <v>17991931.684870876</v>
      </c>
      <c r="D22" s="27">
        <f t="shared" si="1"/>
        <v>9312952.5241911449</v>
      </c>
      <c r="E22" s="27">
        <f t="shared" si="4"/>
        <v>47028498.028666943</v>
      </c>
      <c r="F22" s="27">
        <f t="shared" si="2"/>
        <v>21900719.534590852</v>
      </c>
      <c r="G22" s="27">
        <f t="shared" si="2"/>
        <v>16763999.999999998</v>
      </c>
      <c r="H22" s="27">
        <f t="shared" si="2"/>
        <v>9961463.0762902889</v>
      </c>
      <c r="I22" s="25">
        <v>0</v>
      </c>
      <c r="J22" s="25">
        <f>'Data by Country'!$J6*0.5*E8</f>
        <v>27940000</v>
      </c>
      <c r="K22" s="25">
        <f>'Data by Country'!$J6*0.3*F8</f>
        <v>16764000</v>
      </c>
      <c r="L22" s="25">
        <f>'Data by Country'!$J6*0.2*G8</f>
        <v>11176000</v>
      </c>
    </row>
    <row r="23" spans="1:12" x14ac:dyDescent="0.2">
      <c r="A23" s="24" t="s">
        <v>13</v>
      </c>
      <c r="B23" s="27">
        <f t="shared" si="3"/>
        <v>-243817145.44793373</v>
      </c>
      <c r="C23" s="27">
        <f t="shared" si="1"/>
        <v>-244985236.1718277</v>
      </c>
      <c r="D23" s="27">
        <f t="shared" si="1"/>
        <v>-245288723.89730984</v>
      </c>
      <c r="E23" s="27">
        <f t="shared" si="4"/>
        <v>-734091105.51707125</v>
      </c>
      <c r="F23" s="27">
        <f t="shared" si="2"/>
        <v>193739.24168916565</v>
      </c>
      <c r="G23" s="27">
        <f t="shared" si="2"/>
        <v>38426.647019543227</v>
      </c>
      <c r="H23" s="27">
        <f t="shared" si="2"/>
        <v>11934.184620911969</v>
      </c>
      <c r="I23" s="25">
        <v>0</v>
      </c>
      <c r="J23" s="25">
        <f>'Data by Country'!$J7*0.5*E9</f>
        <v>2547000</v>
      </c>
      <c r="K23" s="25">
        <f>'Data by Country'!$J7*0.3*F9</f>
        <v>1528200</v>
      </c>
      <c r="L23" s="25">
        <f>'Data by Country'!$J7*0.2*G9</f>
        <v>1018800</v>
      </c>
    </row>
    <row r="24" spans="1:12" x14ac:dyDescent="0.2">
      <c r="A24" s="24" t="s">
        <v>14</v>
      </c>
      <c r="B24" s="27">
        <f t="shared" si="3"/>
        <v>-144690189.98110163</v>
      </c>
      <c r="C24" s="27">
        <f t="shared" si="1"/>
        <v>-131165534.15766174</v>
      </c>
      <c r="D24" s="27">
        <f t="shared" si="1"/>
        <v>-224869348.46460623</v>
      </c>
      <c r="E24" s="27">
        <f t="shared" si="4"/>
        <v>-500725072.60336959</v>
      </c>
      <c r="F24" s="27">
        <f t="shared" si="2"/>
        <v>36708944.863721751</v>
      </c>
      <c r="G24" s="27">
        <f t="shared" si="2"/>
        <v>35788189.0170177</v>
      </c>
      <c r="H24" s="27">
        <f t="shared" si="2"/>
        <v>1897356.7645507634</v>
      </c>
      <c r="I24" s="25">
        <v>0</v>
      </c>
      <c r="J24" s="25">
        <f>'Data by Country'!$J8*0.5*E10</f>
        <v>64450000</v>
      </c>
      <c r="K24" s="25">
        <f>'Data by Country'!$J8*0.3*F10</f>
        <v>35788189.017017633</v>
      </c>
      <c r="L24" s="25">
        <f>'Data by Country'!$J8*0.2*G10</f>
        <v>25780000</v>
      </c>
    </row>
    <row r="25" spans="1:12" x14ac:dyDescent="0.2">
      <c r="A25" s="24" t="s">
        <v>15</v>
      </c>
      <c r="B25" s="27">
        <f t="shared" si="3"/>
        <v>767033377.99057186</v>
      </c>
      <c r="C25" s="27">
        <f t="shared" si="1"/>
        <v>761321032.93344331</v>
      </c>
      <c r="D25" s="27">
        <f t="shared" si="1"/>
        <v>670860070.03687489</v>
      </c>
      <c r="E25" s="27">
        <f t="shared" si="4"/>
        <v>2199214480.9608898</v>
      </c>
      <c r="F25" s="27">
        <f t="shared" si="2"/>
        <v>110363930.56463233</v>
      </c>
      <c r="G25" s="27">
        <f t="shared" si="2"/>
        <v>98850000</v>
      </c>
      <c r="H25" s="27">
        <f t="shared" si="2"/>
        <v>65900000</v>
      </c>
      <c r="I25" s="25">
        <v>0</v>
      </c>
      <c r="J25" s="25">
        <f>'Data by Country'!$J9*0.5*E11</f>
        <v>164750000</v>
      </c>
      <c r="K25" s="25">
        <f>'Data by Country'!$J9*0.3*F11</f>
        <v>98850000</v>
      </c>
      <c r="L25" s="25">
        <f>'Data by Country'!$J9*0.2*G11</f>
        <v>65900000</v>
      </c>
    </row>
    <row r="28" spans="1:12" x14ac:dyDescent="0.2">
      <c r="A28" s="50" t="s">
        <v>30</v>
      </c>
      <c r="B28" s="50"/>
      <c r="C28" s="50"/>
      <c r="F28" s="50" t="s">
        <v>31</v>
      </c>
      <c r="G28" s="50"/>
      <c r="H28" s="50"/>
      <c r="J28" s="26"/>
    </row>
    <row r="29" spans="1:12" x14ac:dyDescent="0.2">
      <c r="A29" s="20"/>
      <c r="B29" s="46" t="s">
        <v>3</v>
      </c>
      <c r="C29" s="47"/>
      <c r="D29" s="48"/>
      <c r="F29" s="20"/>
      <c r="G29" s="46" t="s">
        <v>3</v>
      </c>
      <c r="H29" s="47"/>
      <c r="I29" s="48"/>
      <c r="J29" s="26"/>
    </row>
    <row r="30" spans="1:12" x14ac:dyDescent="0.2">
      <c r="A30" s="20" t="s">
        <v>4</v>
      </c>
      <c r="B30" s="20" t="s">
        <v>5</v>
      </c>
      <c r="C30" s="20" t="s">
        <v>6</v>
      </c>
      <c r="D30" s="20" t="s">
        <v>7</v>
      </c>
      <c r="F30" s="20" t="s">
        <v>4</v>
      </c>
      <c r="G30" s="20" t="s">
        <v>5</v>
      </c>
      <c r="H30" s="20" t="s">
        <v>6</v>
      </c>
      <c r="I30" s="20" t="s">
        <v>7</v>
      </c>
    </row>
    <row r="31" spans="1:12" x14ac:dyDescent="0.2">
      <c r="A31" s="20" t="s">
        <v>8</v>
      </c>
      <c r="B31" s="27">
        <f t="shared" ref="B31:D38" si="5">B4*J4</f>
        <v>62992983.574071832</v>
      </c>
      <c r="C31" s="27">
        <f t="shared" si="5"/>
        <v>60653369.294856466</v>
      </c>
      <c r="D31" s="27">
        <f t="shared" si="5"/>
        <v>53038323.780553967</v>
      </c>
      <c r="F31" s="20" t="s">
        <v>8</v>
      </c>
      <c r="G31" s="27">
        <f>B31/$D$40</f>
        <v>1.3981037823947705E-2</v>
      </c>
      <c r="H31" s="27">
        <f t="shared" ref="G31:I38" si="6">C31/$D$40</f>
        <v>1.3461769901152857E-2</v>
      </c>
      <c r="I31" s="27">
        <f t="shared" si="6"/>
        <v>1.1771641361021786E-2</v>
      </c>
    </row>
    <row r="32" spans="1:12" x14ac:dyDescent="0.2">
      <c r="A32" s="20" t="s">
        <v>9</v>
      </c>
      <c r="B32" s="27">
        <f t="shared" si="5"/>
        <v>224316732.18223864</v>
      </c>
      <c r="C32" s="27">
        <f t="shared" si="5"/>
        <v>222233963.48396173</v>
      </c>
      <c r="D32" s="27">
        <f t="shared" si="5"/>
        <v>200718098.81682554</v>
      </c>
      <c r="F32" s="20" t="s">
        <v>9</v>
      </c>
      <c r="G32" s="27">
        <f t="shared" si="6"/>
        <v>4.978619108422562E-2</v>
      </c>
      <c r="H32" s="27">
        <f t="shared" si="6"/>
        <v>4.9323928998879191E-2</v>
      </c>
      <c r="I32" s="27">
        <f t="shared" si="6"/>
        <v>4.4548569892853489E-2</v>
      </c>
    </row>
    <row r="33" spans="1:13" x14ac:dyDescent="0.2">
      <c r="A33" s="20" t="s">
        <v>10</v>
      </c>
      <c r="B33" s="27">
        <f t="shared" si="5"/>
        <v>122622782.73785867</v>
      </c>
      <c r="C33" s="27">
        <f t="shared" si="5"/>
        <v>119256657.74106388</v>
      </c>
      <c r="D33" s="27">
        <f t="shared" si="5"/>
        <v>105190653.0926948</v>
      </c>
      <c r="F33" s="20" t="s">
        <v>10</v>
      </c>
      <c r="G33" s="27">
        <f>B33/$D$40</f>
        <v>2.7215630476048368E-2</v>
      </c>
      <c r="H33" s="27">
        <f t="shared" si="6"/>
        <v>2.6468532652923593E-2</v>
      </c>
      <c r="I33" s="27">
        <f t="shared" si="6"/>
        <v>2.334663983466348E-2</v>
      </c>
    </row>
    <row r="34" spans="1:13" x14ac:dyDescent="0.2">
      <c r="A34" s="20" t="s">
        <v>11</v>
      </c>
      <c r="B34" s="27">
        <f t="shared" si="5"/>
        <v>14595069.635903193</v>
      </c>
      <c r="C34" s="27">
        <f t="shared" si="5"/>
        <v>5436210.023128883</v>
      </c>
      <c r="D34" s="27">
        <f t="shared" si="5"/>
        <v>1825848.7388294844</v>
      </c>
      <c r="F34" s="20" t="s">
        <v>11</v>
      </c>
      <c r="G34" s="27">
        <f t="shared" si="6"/>
        <v>3.2393166515564558E-3</v>
      </c>
      <c r="H34" s="27">
        <f t="shared" si="6"/>
        <v>1.2065448188037888E-3</v>
      </c>
      <c r="I34" s="27">
        <f t="shared" si="6"/>
        <v>4.0523973988889391E-4</v>
      </c>
    </row>
    <row r="35" spans="1:13" x14ac:dyDescent="0.2">
      <c r="A35" s="20" t="s">
        <v>12</v>
      </c>
      <c r="B35" s="27">
        <f t="shared" si="5"/>
        <v>54905706.986271597</v>
      </c>
      <c r="C35" s="27">
        <f t="shared" si="5"/>
        <v>53174024.851537541</v>
      </c>
      <c r="D35" s="27">
        <f t="shared" si="5"/>
        <v>44495045.690857813</v>
      </c>
      <c r="F35" s="20" t="s">
        <v>12</v>
      </c>
      <c r="G35" s="27">
        <f t="shared" si="6"/>
        <v>1.2186099507780993E-2</v>
      </c>
      <c r="H35" s="27">
        <f t="shared" si="6"/>
        <v>1.1801759664656995E-2</v>
      </c>
      <c r="I35" s="27">
        <f t="shared" si="6"/>
        <v>9.8754953565688523E-3</v>
      </c>
    </row>
    <row r="36" spans="1:13" x14ac:dyDescent="0.2">
      <c r="A36" s="20" t="s">
        <v>13</v>
      </c>
      <c r="B36" s="27">
        <f t="shared" si="5"/>
        <v>1661699.968732927</v>
      </c>
      <c r="C36" s="27">
        <f t="shared" si="5"/>
        <v>493609.24483895738</v>
      </c>
      <c r="D36" s="27">
        <f t="shared" si="5"/>
        <v>190121.51935684308</v>
      </c>
      <c r="F36" s="20" t="s">
        <v>13</v>
      </c>
      <c r="G36" s="27">
        <f t="shared" si="6"/>
        <v>3.6880758453978476E-4</v>
      </c>
      <c r="H36" s="27">
        <f t="shared" si="6"/>
        <v>1.0955457466511042E-4</v>
      </c>
      <c r="I36" s="27">
        <f t="shared" si="6"/>
        <v>4.2196701957271824E-5</v>
      </c>
    </row>
    <row r="37" spans="1:13" x14ac:dyDescent="0.2">
      <c r="A37" s="20" t="s">
        <v>14</v>
      </c>
      <c r="B37" s="27">
        <f t="shared" si="5"/>
        <v>100788655.43556504</v>
      </c>
      <c r="C37" s="27">
        <f t="shared" si="5"/>
        <v>100751327.68178688</v>
      </c>
      <c r="D37" s="27">
        <f t="shared" si="5"/>
        <v>20609496.952060439</v>
      </c>
      <c r="F37" s="20" t="s">
        <v>14</v>
      </c>
      <c r="G37" s="27">
        <f t="shared" si="6"/>
        <v>2.2369634265894191E-2</v>
      </c>
      <c r="H37" s="27">
        <f t="shared" si="6"/>
        <v>2.2361349521977564E-2</v>
      </c>
      <c r="I37" s="27">
        <f t="shared" si="6"/>
        <v>4.5741944589824512E-3</v>
      </c>
    </row>
    <row r="38" spans="1:13" x14ac:dyDescent="0.2">
      <c r="A38" s="20" t="s">
        <v>15</v>
      </c>
      <c r="B38" s="27">
        <f t="shared" si="5"/>
        <v>1012512223.4072385</v>
      </c>
      <c r="C38" s="27">
        <f t="shared" si="5"/>
        <v>1006799878.3501099</v>
      </c>
      <c r="D38" s="27">
        <f t="shared" si="5"/>
        <v>916338915.45354152</v>
      </c>
      <c r="F38" s="20" t="s">
        <v>15</v>
      </c>
      <c r="G38" s="27">
        <f t="shared" si="6"/>
        <v>0.22472299118869876</v>
      </c>
      <c r="H38" s="27">
        <f t="shared" si="6"/>
        <v>0.22345515931638801</v>
      </c>
      <c r="I38" s="27">
        <f t="shared" si="6"/>
        <v>0.20337771462192486</v>
      </c>
    </row>
    <row r="39" spans="1:13" ht="15" thickBot="1" x14ac:dyDescent="0.25"/>
    <row r="40" spans="1:13" ht="15" thickBot="1" x14ac:dyDescent="0.25">
      <c r="A40" s="18" t="s">
        <v>81</v>
      </c>
      <c r="D40" s="28">
        <f>SUM(B31:D38)</f>
        <v>4505601398.6438847</v>
      </c>
    </row>
    <row r="44" spans="1:13" x14ac:dyDescent="0.2">
      <c r="A44" s="50" t="s">
        <v>32</v>
      </c>
      <c r="B44" s="50"/>
      <c r="C44" s="50"/>
      <c r="F44" s="49" t="s">
        <v>33</v>
      </c>
      <c r="G44" s="49"/>
      <c r="H44" s="49"/>
      <c r="K44" s="19" t="s">
        <v>80</v>
      </c>
    </row>
    <row r="45" spans="1:13" x14ac:dyDescent="0.2">
      <c r="A45" s="20"/>
      <c r="B45" s="46" t="s">
        <v>3</v>
      </c>
      <c r="C45" s="47"/>
      <c r="D45" s="48"/>
      <c r="F45" s="20"/>
      <c r="G45" s="46" t="s">
        <v>3</v>
      </c>
      <c r="H45" s="47"/>
      <c r="I45" s="48"/>
    </row>
    <row r="46" spans="1:13" x14ac:dyDescent="0.2">
      <c r="A46" s="20" t="s">
        <v>4</v>
      </c>
      <c r="B46" s="20" t="s">
        <v>5</v>
      </c>
      <c r="C46" s="20" t="s">
        <v>6</v>
      </c>
      <c r="D46" s="20" t="s">
        <v>7</v>
      </c>
      <c r="F46" s="20" t="s">
        <v>4</v>
      </c>
      <c r="G46" s="20" t="s">
        <v>34</v>
      </c>
      <c r="H46" s="20" t="s">
        <v>35</v>
      </c>
      <c r="I46" s="20" t="s">
        <v>36</v>
      </c>
    </row>
    <row r="47" spans="1:13" x14ac:dyDescent="0.2">
      <c r="A47" s="20" t="s">
        <v>8</v>
      </c>
      <c r="B47" s="27">
        <f>'Fixed Cost'!$C8/3</f>
        <v>17506009.833333332</v>
      </c>
      <c r="C47" s="27">
        <f>'Fixed Cost'!$C8/3</f>
        <v>17506009.833333332</v>
      </c>
      <c r="D47" s="27">
        <f>'Fixed Cost'!$C8/3</f>
        <v>17506009.833333332</v>
      </c>
      <c r="F47" s="20" t="s">
        <v>8</v>
      </c>
      <c r="G47" s="27">
        <f>'Variable Cost'!$C2*0.5*E4</f>
        <v>17676083.333333336</v>
      </c>
      <c r="H47" s="27">
        <f>'Variable Cost'!$C2*0.5*F4</f>
        <v>17676083.333333336</v>
      </c>
      <c r="I47" s="27">
        <f>'Variable Cost'!$C2*0.5*G4</f>
        <v>17676083.333333336</v>
      </c>
      <c r="K47" s="41">
        <f>G47+B47</f>
        <v>35182093.166666672</v>
      </c>
      <c r="L47" s="41">
        <f t="shared" ref="L47:M47" si="7">H47+C47</f>
        <v>35182093.166666672</v>
      </c>
      <c r="M47" s="41">
        <f t="shared" si="7"/>
        <v>35182093.166666672</v>
      </c>
    </row>
    <row r="48" spans="1:13" x14ac:dyDescent="0.2">
      <c r="A48" s="20" t="s">
        <v>9</v>
      </c>
      <c r="B48" s="27">
        <f>'Fixed Cost'!$C9/3</f>
        <v>17506009.833333332</v>
      </c>
      <c r="C48" s="27">
        <f>'Fixed Cost'!$C9/3</f>
        <v>17506009.833333332</v>
      </c>
      <c r="D48" s="27">
        <f>'Fixed Cost'!$C9/3</f>
        <v>17506009.833333332</v>
      </c>
      <c r="F48" s="20" t="s">
        <v>9</v>
      </c>
      <c r="G48" s="27">
        <f>'Variable Cost'!$C3*0.5*E5</f>
        <v>17676083.333333336</v>
      </c>
      <c r="H48" s="27">
        <f>'Variable Cost'!$C3*0.5*F5</f>
        <v>17676083.333333336</v>
      </c>
      <c r="I48" s="27">
        <f>'Variable Cost'!$C3*0.5*G5</f>
        <v>17676083.333333336</v>
      </c>
      <c r="K48" s="41">
        <f t="shared" ref="K48:K54" si="8">G48+B48</f>
        <v>35182093.166666672</v>
      </c>
      <c r="L48" s="41">
        <f t="shared" ref="L48:L54" si="9">H48+C48</f>
        <v>35182093.166666672</v>
      </c>
      <c r="M48" s="41">
        <f t="shared" ref="M48:M54" si="10">I48+D48</f>
        <v>35182093.166666672</v>
      </c>
    </row>
    <row r="49" spans="1:13" x14ac:dyDescent="0.2">
      <c r="A49" s="20" t="s">
        <v>10</v>
      </c>
      <c r="B49" s="27">
        <f>'Fixed Cost'!$C10/3</f>
        <v>63495395.416666664</v>
      </c>
      <c r="C49" s="27">
        <f>'Fixed Cost'!$C10/3</f>
        <v>63495395.416666664</v>
      </c>
      <c r="D49" s="27">
        <f>'Fixed Cost'!$C10/3</f>
        <v>63495395.416666664</v>
      </c>
      <c r="F49" s="20" t="s">
        <v>10</v>
      </c>
      <c r="G49" s="27">
        <f>'Variable Cost'!$C4*0.5*E6</f>
        <v>181983450</v>
      </c>
      <c r="H49" s="27">
        <f>'Variable Cost'!$C4*0.5*F6</f>
        <v>181983450</v>
      </c>
      <c r="I49" s="27">
        <f>'Variable Cost'!$C4*0.5*G6</f>
        <v>181983450</v>
      </c>
      <c r="K49" s="41">
        <f t="shared" si="8"/>
        <v>245478845.41666666</v>
      </c>
      <c r="L49" s="41">
        <f t="shared" si="9"/>
        <v>245478845.41666666</v>
      </c>
      <c r="M49" s="41">
        <f t="shared" si="10"/>
        <v>245478845.41666666</v>
      </c>
    </row>
    <row r="50" spans="1:13" x14ac:dyDescent="0.2">
      <c r="A50" s="20" t="s">
        <v>11</v>
      </c>
      <c r="B50" s="27">
        <f>'Fixed Cost'!$C11/3</f>
        <v>17506009.833333332</v>
      </c>
      <c r="C50" s="27">
        <f>'Fixed Cost'!$C11/3</f>
        <v>17506009.833333332</v>
      </c>
      <c r="D50" s="27">
        <f>'Fixed Cost'!$C11/3</f>
        <v>17506009.833333332</v>
      </c>
      <c r="F50" s="20" t="s">
        <v>11</v>
      </c>
      <c r="G50" s="27">
        <f>'Variable Cost'!$C5*0.5*E7</f>
        <v>17676083.333333336</v>
      </c>
      <c r="H50" s="27">
        <f>'Variable Cost'!$C5*0.5*F7</f>
        <v>17676083.333333336</v>
      </c>
      <c r="I50" s="27">
        <f>'Variable Cost'!$C5*0.5*G7</f>
        <v>17676083.333333336</v>
      </c>
      <c r="K50" s="41">
        <f t="shared" si="8"/>
        <v>35182093.166666672</v>
      </c>
      <c r="L50" s="41">
        <f t="shared" si="9"/>
        <v>35182093.166666672</v>
      </c>
      <c r="M50" s="41">
        <f t="shared" si="10"/>
        <v>35182093.166666672</v>
      </c>
    </row>
    <row r="51" spans="1:13" x14ac:dyDescent="0.2">
      <c r="A51" s="20" t="s">
        <v>12</v>
      </c>
      <c r="B51" s="27">
        <f>'Fixed Cost'!$C12/3</f>
        <v>17506009.833333332</v>
      </c>
      <c r="C51" s="27">
        <f>'Fixed Cost'!$C12/3</f>
        <v>17506009.833333332</v>
      </c>
      <c r="D51" s="27">
        <f>'Fixed Cost'!$C12/3</f>
        <v>17506009.833333332</v>
      </c>
      <c r="F51" s="20" t="s">
        <v>12</v>
      </c>
      <c r="G51" s="27">
        <f>'Variable Cost'!$C6*0.5*E8</f>
        <v>17676083.333333336</v>
      </c>
      <c r="H51" s="27">
        <f>'Variable Cost'!$C6*0.5*F8</f>
        <v>17676083.333333336</v>
      </c>
      <c r="I51" s="27">
        <f>'Variable Cost'!$C6*0.5*G8</f>
        <v>17676083.333333336</v>
      </c>
      <c r="K51" s="41">
        <f t="shared" si="8"/>
        <v>35182093.166666672</v>
      </c>
      <c r="L51" s="41">
        <f t="shared" si="9"/>
        <v>35182093.166666672</v>
      </c>
      <c r="M51" s="41">
        <f t="shared" si="10"/>
        <v>35182093.166666672</v>
      </c>
    </row>
    <row r="52" spans="1:13" x14ac:dyDescent="0.2">
      <c r="A52" s="20" t="s">
        <v>13</v>
      </c>
      <c r="B52" s="27">
        <f>'Fixed Cost'!$C13/3</f>
        <v>63495395.416666664</v>
      </c>
      <c r="C52" s="27">
        <f>'Fixed Cost'!$C13/3</f>
        <v>63495395.416666664</v>
      </c>
      <c r="D52" s="27">
        <f>'Fixed Cost'!$C13/3</f>
        <v>63495395.416666664</v>
      </c>
      <c r="F52" s="20" t="s">
        <v>13</v>
      </c>
      <c r="G52" s="27">
        <f>'Variable Cost'!$C7*0.5*E9</f>
        <v>181983450</v>
      </c>
      <c r="H52" s="27">
        <f>'Variable Cost'!$C7*0.5*F9</f>
        <v>181983450</v>
      </c>
      <c r="I52" s="27">
        <f>'Variable Cost'!$C7*0.5*G9</f>
        <v>181983450</v>
      </c>
      <c r="K52" s="41">
        <f t="shared" si="8"/>
        <v>245478845.41666666</v>
      </c>
      <c r="L52" s="41">
        <f t="shared" si="9"/>
        <v>245478845.41666666</v>
      </c>
      <c r="M52" s="41">
        <f t="shared" si="10"/>
        <v>245478845.41666666</v>
      </c>
    </row>
    <row r="53" spans="1:13" x14ac:dyDescent="0.2">
      <c r="A53" s="20" t="s">
        <v>14</v>
      </c>
      <c r="B53" s="27">
        <f>'Fixed Cost'!$C14/3</f>
        <v>63495395.416666664</v>
      </c>
      <c r="C53" s="27">
        <f>'Fixed Cost'!$C14/3</f>
        <v>63495395.416666664</v>
      </c>
      <c r="D53" s="27">
        <f>'Fixed Cost'!$C14/3</f>
        <v>63495395.416666664</v>
      </c>
      <c r="F53" s="20" t="s">
        <v>14</v>
      </c>
      <c r="G53" s="27">
        <f>'Variable Cost'!$C8*0.5*E10</f>
        <v>181983450</v>
      </c>
      <c r="H53" s="27">
        <f>'Variable Cost'!$C8*0.5*F10</f>
        <v>168421466.42278194</v>
      </c>
      <c r="I53" s="27">
        <f>'Variable Cost'!$C8*0.5*G10</f>
        <v>181983450</v>
      </c>
      <c r="K53" s="41">
        <f t="shared" si="8"/>
        <v>245478845.41666666</v>
      </c>
      <c r="L53" s="41">
        <f t="shared" si="9"/>
        <v>231916861.8394486</v>
      </c>
      <c r="M53" s="41">
        <f t="shared" si="10"/>
        <v>245478845.41666666</v>
      </c>
    </row>
    <row r="54" spans="1:13" x14ac:dyDescent="0.2">
      <c r="A54" s="20" t="s">
        <v>15</v>
      </c>
      <c r="B54" s="27">
        <f>'Fixed Cost'!$C15/3</f>
        <v>63495395.416666664</v>
      </c>
      <c r="C54" s="27">
        <f>'Fixed Cost'!$C15/3</f>
        <v>63495395.416666664</v>
      </c>
      <c r="D54" s="27">
        <f>'Fixed Cost'!$C15/3</f>
        <v>63495395.416666664</v>
      </c>
      <c r="F54" s="20" t="s">
        <v>15</v>
      </c>
      <c r="G54" s="27">
        <f>'Variable Cost'!$C9*0.5*E11</f>
        <v>181983450</v>
      </c>
      <c r="H54" s="27">
        <f>'Variable Cost'!$C9*0.5*F11</f>
        <v>181983450</v>
      </c>
      <c r="I54" s="27">
        <f>'Variable Cost'!$C9*0.5*G11</f>
        <v>181983450</v>
      </c>
      <c r="K54" s="41">
        <f t="shared" si="8"/>
        <v>245478845.41666666</v>
      </c>
      <c r="L54" s="41">
        <f t="shared" si="9"/>
        <v>245478845.41666666</v>
      </c>
      <c r="M54" s="41">
        <f t="shared" si="10"/>
        <v>245478845.41666666</v>
      </c>
    </row>
    <row r="55" spans="1:13" x14ac:dyDescent="0.2">
      <c r="B55" s="17"/>
    </row>
    <row r="56" spans="1:13" ht="15" thickBot="1" x14ac:dyDescent="0.25"/>
    <row r="57" spans="1:13" ht="15" thickBot="1" x14ac:dyDescent="0.25">
      <c r="A57" s="18" t="s">
        <v>37</v>
      </c>
      <c r="D57" s="28">
        <f>SUM(B31:D38)-SUM(B47:D54)-SUM(G47:I54)</f>
        <v>1151232119.2211032</v>
      </c>
      <c r="J57" s="19" t="s">
        <v>80</v>
      </c>
      <c r="K57" s="41">
        <f>SUM(K47:M54)</f>
        <v>3354369279.4227815</v>
      </c>
    </row>
  </sheetData>
  <mergeCells count="11">
    <mergeCell ref="J2:L2"/>
    <mergeCell ref="B45:D45"/>
    <mergeCell ref="F44:H44"/>
    <mergeCell ref="G45:I45"/>
    <mergeCell ref="A28:C28"/>
    <mergeCell ref="B2:D2"/>
    <mergeCell ref="E2:G2"/>
    <mergeCell ref="B29:D29"/>
    <mergeCell ref="A44:C44"/>
    <mergeCell ref="F28:H28"/>
    <mergeCell ref="G29:I29"/>
  </mergeCells>
  <phoneticPr fontId="0" type="noConversion"/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301E-4491-40EC-9A30-78684CA33608}">
  <dimension ref="A1:C9"/>
  <sheetViews>
    <sheetView workbookViewId="0">
      <selection activeCell="B2" sqref="B2"/>
    </sheetView>
  </sheetViews>
  <sheetFormatPr baseColWidth="10" defaultColWidth="12.33203125" defaultRowHeight="14" x14ac:dyDescent="0.15"/>
  <cols>
    <col min="1" max="1" width="13.33203125" style="15" customWidth="1"/>
    <col min="2" max="2" width="12.33203125" style="15" customWidth="1"/>
    <col min="3" max="3" width="10.1640625" style="15" customWidth="1"/>
    <col min="4" max="16384" width="12.33203125" style="15"/>
  </cols>
  <sheetData>
    <row r="1" spans="1:3" s="29" customFormat="1" ht="15" x14ac:dyDescent="0.15">
      <c r="A1" s="11" t="s">
        <v>4</v>
      </c>
      <c r="B1" s="12" t="s">
        <v>38</v>
      </c>
      <c r="C1" s="12" t="s">
        <v>39</v>
      </c>
    </row>
    <row r="2" spans="1:3" x14ac:dyDescent="0.15">
      <c r="A2" s="13" t="s">
        <v>8</v>
      </c>
      <c r="B2" s="14">
        <v>50000000</v>
      </c>
      <c r="C2" s="15">
        <v>-0.29199999999999998</v>
      </c>
    </row>
    <row r="3" spans="1:3" x14ac:dyDescent="0.15">
      <c r="A3" s="13" t="s">
        <v>9</v>
      </c>
      <c r="B3" s="14">
        <v>200000000</v>
      </c>
      <c r="C3" s="15">
        <v>-0.32800000000000001</v>
      </c>
    </row>
    <row r="4" spans="1:3" x14ac:dyDescent="0.15">
      <c r="A4" s="13" t="s">
        <v>10</v>
      </c>
      <c r="B4" s="14">
        <v>40000000</v>
      </c>
      <c r="C4" s="15">
        <v>-0.12</v>
      </c>
    </row>
    <row r="5" spans="1:3" x14ac:dyDescent="0.15">
      <c r="A5" s="13" t="s">
        <v>11</v>
      </c>
      <c r="B5" s="14">
        <v>20000000</v>
      </c>
      <c r="C5" s="15">
        <v>-0.40100000000000002</v>
      </c>
    </row>
    <row r="6" spans="1:3" x14ac:dyDescent="0.15">
      <c r="A6" s="13" t="s">
        <v>12</v>
      </c>
      <c r="B6" s="14">
        <v>60000000</v>
      </c>
      <c r="C6" s="15">
        <v>-0.40200000000000002</v>
      </c>
    </row>
    <row r="7" spans="1:3" x14ac:dyDescent="0.15">
      <c r="A7" s="13" t="s">
        <v>13</v>
      </c>
      <c r="B7" s="14">
        <v>5000000</v>
      </c>
      <c r="C7" s="15">
        <v>-0.379</v>
      </c>
    </row>
    <row r="8" spans="1:3" x14ac:dyDescent="0.15">
      <c r="A8" s="13" t="s">
        <v>14</v>
      </c>
      <c r="B8" s="14">
        <v>100000000</v>
      </c>
      <c r="C8" s="15">
        <v>-0.36499999999999999</v>
      </c>
    </row>
    <row r="9" spans="1:3" x14ac:dyDescent="0.15">
      <c r="A9" s="13" t="s">
        <v>15</v>
      </c>
      <c r="B9" s="14">
        <v>300000000</v>
      </c>
      <c r="C9" s="15">
        <v>-0.109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B51C-6190-4258-9D9C-F0A4A20D7EF6}">
  <dimension ref="A1:C16"/>
  <sheetViews>
    <sheetView workbookViewId="0">
      <selection activeCell="B4" sqref="B4"/>
    </sheetView>
  </sheetViews>
  <sheetFormatPr baseColWidth="10" defaultColWidth="12.33203125" defaultRowHeight="14" x14ac:dyDescent="0.2"/>
  <cols>
    <col min="1" max="1" width="22.1640625" style="16" customWidth="1"/>
    <col min="2" max="2" width="20.5" style="16" customWidth="1"/>
    <col min="3" max="3" width="21.5" style="16" customWidth="1"/>
    <col min="4" max="16384" width="12.33203125" style="16"/>
  </cols>
  <sheetData>
    <row r="1" spans="1:3" ht="15" x14ac:dyDescent="0.2">
      <c r="A1" s="11" t="s">
        <v>40</v>
      </c>
      <c r="B1" s="12" t="s">
        <v>41</v>
      </c>
    </row>
    <row r="2" spans="1:3" x14ac:dyDescent="0.2">
      <c r="A2" s="16" t="s">
        <v>42</v>
      </c>
      <c r="B2" s="30">
        <f>7619447450/10</f>
        <v>761944745</v>
      </c>
    </row>
    <row r="3" spans="1:3" x14ac:dyDescent="0.2">
      <c r="A3" s="16" t="s">
        <v>43</v>
      </c>
      <c r="B3" s="30">
        <f>2100721180/10</f>
        <v>210072118</v>
      </c>
    </row>
    <row r="4" spans="1:3" x14ac:dyDescent="0.2">
      <c r="A4" s="16" t="s">
        <v>44</v>
      </c>
      <c r="B4" s="17">
        <f>B2+B3</f>
        <v>972016863</v>
      </c>
    </row>
    <row r="7" spans="1:3" ht="15" x14ac:dyDescent="0.2">
      <c r="A7" s="12" t="s">
        <v>4</v>
      </c>
      <c r="B7" s="11" t="s">
        <v>40</v>
      </c>
      <c r="C7" s="12" t="s">
        <v>45</v>
      </c>
    </row>
    <row r="8" spans="1:3" x14ac:dyDescent="0.2">
      <c r="A8" s="16" t="s">
        <v>8</v>
      </c>
      <c r="B8" s="16" t="s">
        <v>43</v>
      </c>
      <c r="C8" s="43">
        <f>VLOOKUP(B8,$A$2:$B$3,2,FALSE)/4</f>
        <v>52518029.5</v>
      </c>
    </row>
    <row r="9" spans="1:3" x14ac:dyDescent="0.2">
      <c r="A9" s="16" t="s">
        <v>9</v>
      </c>
      <c r="B9" s="16" t="s">
        <v>43</v>
      </c>
      <c r="C9" s="43">
        <f t="shared" ref="C9:C15" si="0">VLOOKUP(B9,$A$2:$B$3,2,FALSE)/4</f>
        <v>52518029.5</v>
      </c>
    </row>
    <row r="10" spans="1:3" x14ac:dyDescent="0.2">
      <c r="A10" s="16" t="s">
        <v>10</v>
      </c>
      <c r="B10" s="16" t="s">
        <v>42</v>
      </c>
      <c r="C10" s="43">
        <f t="shared" si="0"/>
        <v>190486186.25</v>
      </c>
    </row>
    <row r="11" spans="1:3" x14ac:dyDescent="0.2">
      <c r="A11" s="16" t="s">
        <v>11</v>
      </c>
      <c r="B11" s="16" t="s">
        <v>43</v>
      </c>
      <c r="C11" s="43">
        <f t="shared" si="0"/>
        <v>52518029.5</v>
      </c>
    </row>
    <row r="12" spans="1:3" x14ac:dyDescent="0.2">
      <c r="A12" s="16" t="s">
        <v>12</v>
      </c>
      <c r="B12" s="16" t="s">
        <v>43</v>
      </c>
      <c r="C12" s="43">
        <f t="shared" si="0"/>
        <v>52518029.5</v>
      </c>
    </row>
    <row r="13" spans="1:3" x14ac:dyDescent="0.2">
      <c r="A13" s="16" t="s">
        <v>13</v>
      </c>
      <c r="B13" s="16" t="s">
        <v>42</v>
      </c>
      <c r="C13" s="43">
        <f t="shared" si="0"/>
        <v>190486186.25</v>
      </c>
    </row>
    <row r="14" spans="1:3" x14ac:dyDescent="0.2">
      <c r="A14" s="16" t="s">
        <v>14</v>
      </c>
      <c r="B14" s="16" t="s">
        <v>42</v>
      </c>
      <c r="C14" s="43">
        <f t="shared" si="0"/>
        <v>190486186.25</v>
      </c>
    </row>
    <row r="15" spans="1:3" x14ac:dyDescent="0.2">
      <c r="A15" s="16" t="s">
        <v>15</v>
      </c>
      <c r="B15" s="16" t="s">
        <v>42</v>
      </c>
      <c r="C15" s="43">
        <f t="shared" si="0"/>
        <v>190486186.25</v>
      </c>
    </row>
    <row r="16" spans="1:3" x14ac:dyDescent="0.2">
      <c r="A16" s="15"/>
      <c r="B1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0F1-7798-4B5D-B34F-2E4FCFFBEB22}">
  <dimension ref="A1:L20"/>
  <sheetViews>
    <sheetView workbookViewId="0">
      <selection activeCell="C2" sqref="C2:C9"/>
    </sheetView>
  </sheetViews>
  <sheetFormatPr baseColWidth="10" defaultColWidth="8.83203125" defaultRowHeight="14" x14ac:dyDescent="0.2"/>
  <cols>
    <col min="1" max="1" width="11.5" style="32" bestFit="1" customWidth="1"/>
    <col min="2" max="2" width="17" style="32" bestFit="1" customWidth="1"/>
    <col min="3" max="3" width="17.5" style="32" bestFit="1" customWidth="1"/>
    <col min="4" max="4" width="26.6640625" style="32" customWidth="1"/>
    <col min="5" max="5" width="18.33203125" style="32" customWidth="1"/>
    <col min="6" max="6" width="18.5" style="32" customWidth="1"/>
    <col min="7" max="7" width="7" style="32" customWidth="1"/>
    <col min="8" max="8" width="24.33203125" style="32" bestFit="1" customWidth="1"/>
    <col min="9" max="9" width="16.1640625" style="32" customWidth="1"/>
    <col min="10" max="10" width="4.6640625" style="32" customWidth="1"/>
    <col min="11" max="11" width="16.1640625" style="32" bestFit="1" customWidth="1"/>
    <col min="12" max="12" width="16" style="32" bestFit="1" customWidth="1"/>
    <col min="13" max="16384" width="8.83203125" style="32"/>
  </cols>
  <sheetData>
    <row r="1" spans="1:12" ht="15" x14ac:dyDescent="0.2">
      <c r="A1" s="12" t="s">
        <v>4</v>
      </c>
      <c r="B1" s="11" t="s">
        <v>40</v>
      </c>
      <c r="C1" s="12" t="s">
        <v>46</v>
      </c>
      <c r="E1" s="11" t="s">
        <v>4</v>
      </c>
      <c r="F1" s="12" t="s">
        <v>47</v>
      </c>
      <c r="G1" s="33"/>
      <c r="H1" s="11" t="s">
        <v>48</v>
      </c>
      <c r="I1" s="12" t="s">
        <v>49</v>
      </c>
    </row>
    <row r="2" spans="1:12" x14ac:dyDescent="0.2">
      <c r="A2" s="34" t="s">
        <v>8</v>
      </c>
      <c r="B2" s="34" t="s">
        <v>43</v>
      </c>
      <c r="C2" s="42">
        <f>VLOOKUP(B2,$E$19:$F$20,2,FALSE)</f>
        <v>35352166.666666672</v>
      </c>
      <c r="E2" s="34" t="s">
        <v>8</v>
      </c>
      <c r="F2" s="34">
        <v>110.95</v>
      </c>
      <c r="H2" s="32" t="s">
        <v>50</v>
      </c>
      <c r="I2" s="32">
        <v>9</v>
      </c>
    </row>
    <row r="3" spans="1:12" x14ac:dyDescent="0.2">
      <c r="A3" s="34" t="s">
        <v>9</v>
      </c>
      <c r="B3" s="34" t="s">
        <v>43</v>
      </c>
      <c r="C3" s="42">
        <f t="shared" ref="C3:C9" si="0">VLOOKUP(B3,$E$19:$F$20,2,FALSE)</f>
        <v>35352166.666666672</v>
      </c>
      <c r="E3" s="34" t="s">
        <v>9</v>
      </c>
      <c r="F3" s="34">
        <v>527.33000000000004</v>
      </c>
      <c r="H3" s="32" t="s">
        <v>51</v>
      </c>
      <c r="I3" s="32">
        <v>8</v>
      </c>
    </row>
    <row r="4" spans="1:12" x14ac:dyDescent="0.2">
      <c r="A4" s="34" t="s">
        <v>10</v>
      </c>
      <c r="B4" s="34" t="s">
        <v>42</v>
      </c>
      <c r="C4" s="42">
        <f t="shared" si="0"/>
        <v>363966900</v>
      </c>
      <c r="E4" s="34" t="s">
        <v>10</v>
      </c>
      <c r="F4" s="34"/>
      <c r="H4" s="32" t="s">
        <v>52</v>
      </c>
      <c r="I4" s="32">
        <v>5</v>
      </c>
    </row>
    <row r="5" spans="1:12" x14ac:dyDescent="0.2">
      <c r="A5" s="34" t="s">
        <v>11</v>
      </c>
      <c r="B5" s="34" t="s">
        <v>43</v>
      </c>
      <c r="C5" s="42">
        <f t="shared" si="0"/>
        <v>35352166.666666672</v>
      </c>
      <c r="E5" s="34" t="s">
        <v>11</v>
      </c>
      <c r="F5" s="34">
        <v>78.05</v>
      </c>
    </row>
    <row r="6" spans="1:12" x14ac:dyDescent="0.2">
      <c r="A6" s="34" t="s">
        <v>12</v>
      </c>
      <c r="B6" s="34" t="s">
        <v>43</v>
      </c>
      <c r="C6" s="42">
        <f t="shared" si="0"/>
        <v>35352166.666666672</v>
      </c>
      <c r="E6" s="34" t="s">
        <v>12</v>
      </c>
      <c r="F6" s="34"/>
    </row>
    <row r="7" spans="1:12" x14ac:dyDescent="0.2">
      <c r="A7" s="34" t="s">
        <v>13</v>
      </c>
      <c r="B7" s="34" t="s">
        <v>42</v>
      </c>
      <c r="C7" s="42">
        <f t="shared" si="0"/>
        <v>363966900</v>
      </c>
      <c r="E7" s="34" t="s">
        <v>13</v>
      </c>
      <c r="F7" s="34"/>
    </row>
    <row r="8" spans="1:12" x14ac:dyDescent="0.2">
      <c r="A8" s="34" t="s">
        <v>14</v>
      </c>
      <c r="B8" s="34" t="s">
        <v>42</v>
      </c>
      <c r="C8" s="42">
        <f t="shared" si="0"/>
        <v>363966900</v>
      </c>
      <c r="E8" s="34" t="s">
        <v>14</v>
      </c>
      <c r="F8" s="34"/>
    </row>
    <row r="9" spans="1:12" x14ac:dyDescent="0.2">
      <c r="A9" s="34" t="s">
        <v>15</v>
      </c>
      <c r="B9" s="34" t="s">
        <v>42</v>
      </c>
      <c r="C9" s="42">
        <f t="shared" si="0"/>
        <v>363966900</v>
      </c>
      <c r="E9" s="34" t="s">
        <v>15</v>
      </c>
      <c r="F9" s="34"/>
    </row>
    <row r="12" spans="1:12" x14ac:dyDescent="0.2">
      <c r="E12" s="35" t="s">
        <v>40</v>
      </c>
      <c r="F12" s="35" t="s">
        <v>47</v>
      </c>
      <c r="H12" s="35" t="s">
        <v>53</v>
      </c>
      <c r="I12" s="35" t="s">
        <v>54</v>
      </c>
      <c r="J12" s="33"/>
      <c r="K12" s="35" t="s">
        <v>55</v>
      </c>
      <c r="L12" s="35" t="s">
        <v>56</v>
      </c>
    </row>
    <row r="13" spans="1:12" x14ac:dyDescent="0.2">
      <c r="E13" s="32" t="s">
        <v>57</v>
      </c>
      <c r="F13" s="32">
        <v>3308.79</v>
      </c>
      <c r="H13" s="32" t="s">
        <v>58</v>
      </c>
      <c r="I13" s="32">
        <f>F13*0.09</f>
        <v>297.79109999999997</v>
      </c>
      <c r="K13" s="32" t="s">
        <v>58</v>
      </c>
      <c r="L13" s="32">
        <f>$F$14*0.09</f>
        <v>86.773499999999999</v>
      </c>
    </row>
    <row r="14" spans="1:12" x14ac:dyDescent="0.2">
      <c r="E14" s="32" t="s">
        <v>59</v>
      </c>
      <c r="F14" s="32">
        <v>964.15</v>
      </c>
      <c r="H14" s="32" t="s">
        <v>60</v>
      </c>
      <c r="I14" s="32">
        <f>F13*0.08</f>
        <v>264.70319999999998</v>
      </c>
      <c r="K14" s="32" t="s">
        <v>60</v>
      </c>
      <c r="L14" s="32">
        <f>$F$14*0.08</f>
        <v>77.132000000000005</v>
      </c>
    </row>
    <row r="15" spans="1:12" x14ac:dyDescent="0.2">
      <c r="H15" s="32" t="s">
        <v>61</v>
      </c>
      <c r="I15" s="32">
        <f>F13*0.05</f>
        <v>165.43950000000001</v>
      </c>
      <c r="K15" s="32" t="s">
        <v>61</v>
      </c>
      <c r="L15" s="32">
        <f>$F$14*0.05</f>
        <v>48.207500000000003</v>
      </c>
    </row>
    <row r="16" spans="1:12" x14ac:dyDescent="0.2">
      <c r="H16" s="36" t="s">
        <v>62</v>
      </c>
      <c r="I16" s="36">
        <f>SUM(I13:I15)</f>
        <v>727.93380000000002</v>
      </c>
      <c r="K16" s="36" t="s">
        <v>62</v>
      </c>
      <c r="L16" s="36">
        <f>SUM(L13:L15)</f>
        <v>212.11300000000003</v>
      </c>
    </row>
    <row r="18" spans="5:6" ht="15" x14ac:dyDescent="0.2">
      <c r="E18" s="11" t="s">
        <v>63</v>
      </c>
      <c r="F18" s="12"/>
    </row>
    <row r="19" spans="5:6" x14ac:dyDescent="0.2">
      <c r="E19" s="34" t="s">
        <v>42</v>
      </c>
      <c r="F19" s="32">
        <f>I16*1000000/2</f>
        <v>363966900</v>
      </c>
    </row>
    <row r="20" spans="5:6" x14ac:dyDescent="0.2">
      <c r="E20" s="34" t="s">
        <v>43</v>
      </c>
      <c r="F20" s="32">
        <f>L16*1000000/6</f>
        <v>35352166.666666672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951-D922-4434-831F-AF05F51A6D3A}">
  <dimension ref="A1:L18"/>
  <sheetViews>
    <sheetView workbookViewId="0">
      <selection activeCell="E2" sqref="E2:G9"/>
    </sheetView>
  </sheetViews>
  <sheetFormatPr baseColWidth="10" defaultColWidth="12.33203125" defaultRowHeight="16" x14ac:dyDescent="0.15"/>
  <cols>
    <col min="1" max="1" width="17.6640625" style="7" bestFit="1" customWidth="1"/>
    <col min="2" max="2" width="12.5" style="7" bestFit="1" customWidth="1"/>
    <col min="3" max="3" width="11.83203125" style="7" bestFit="1" customWidth="1"/>
    <col min="4" max="4" width="14.83203125" style="7" bestFit="1" customWidth="1"/>
    <col min="5" max="5" width="22.33203125" style="7" bestFit="1" customWidth="1"/>
    <col min="6" max="7" width="25.5" style="7" bestFit="1" customWidth="1"/>
    <col min="8" max="8" width="18" style="7" bestFit="1" customWidth="1"/>
    <col min="9" max="9" width="19.6640625" style="7" customWidth="1"/>
    <col min="10" max="10" width="16.6640625" style="7" bestFit="1" customWidth="1"/>
    <col min="11" max="11" width="9.33203125" style="7" bestFit="1" customWidth="1"/>
    <col min="12" max="12" width="7.33203125" style="7" bestFit="1" customWidth="1"/>
    <col min="13" max="16384" width="12.33203125" style="7"/>
  </cols>
  <sheetData>
    <row r="1" spans="1:12" s="2" customFormat="1" ht="68" x14ac:dyDescent="0.15">
      <c r="A1" s="2" t="s">
        <v>40</v>
      </c>
      <c r="B1" s="1" t="s">
        <v>64</v>
      </c>
      <c r="C1" s="1" t="s">
        <v>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2" t="s">
        <v>70</v>
      </c>
      <c r="J1" s="3" t="s">
        <v>71</v>
      </c>
      <c r="K1" s="4" t="s">
        <v>38</v>
      </c>
      <c r="L1" s="4" t="s">
        <v>39</v>
      </c>
    </row>
    <row r="2" spans="1:12" x14ac:dyDescent="0.15">
      <c r="A2" s="5" t="s">
        <v>43</v>
      </c>
      <c r="B2" s="5" t="s">
        <v>72</v>
      </c>
      <c r="C2" s="5" t="s">
        <v>8</v>
      </c>
      <c r="D2" s="5">
        <v>4760</v>
      </c>
      <c r="E2" s="5">
        <v>3.74</v>
      </c>
      <c r="F2" s="5">
        <v>6.3</v>
      </c>
      <c r="G2" s="5">
        <v>9.26</v>
      </c>
      <c r="H2" s="6">
        <v>5069282</v>
      </c>
      <c r="I2" s="7">
        <v>7.5</v>
      </c>
      <c r="J2" s="8">
        <v>45380000</v>
      </c>
      <c r="K2" s="9">
        <v>50000000</v>
      </c>
      <c r="L2" s="10">
        <v>-0.29199999999999998</v>
      </c>
    </row>
    <row r="3" spans="1:12" x14ac:dyDescent="0.15">
      <c r="A3" s="5" t="s">
        <v>43</v>
      </c>
      <c r="B3" s="5" t="s">
        <v>73</v>
      </c>
      <c r="C3" s="5" t="s">
        <v>9</v>
      </c>
      <c r="D3" s="5">
        <v>4972</v>
      </c>
      <c r="E3" s="5">
        <v>4.6100000000000003</v>
      </c>
      <c r="F3" s="5">
        <v>7.11</v>
      </c>
      <c r="G3" s="5">
        <v>9.9600000000000009</v>
      </c>
      <c r="H3" s="6">
        <v>18221334</v>
      </c>
      <c r="I3" s="7">
        <v>7.5</v>
      </c>
      <c r="J3" s="8">
        <v>212600000</v>
      </c>
      <c r="K3" s="9">
        <v>200000000</v>
      </c>
      <c r="L3" s="10">
        <v>-0.32800000000000001</v>
      </c>
    </row>
    <row r="4" spans="1:12" x14ac:dyDescent="0.15">
      <c r="A4" s="5" t="s">
        <v>42</v>
      </c>
      <c r="B4" s="5" t="s">
        <v>74</v>
      </c>
      <c r="C4" s="5" t="s">
        <v>10</v>
      </c>
      <c r="D4" s="5">
        <v>6239</v>
      </c>
      <c r="E4" s="5">
        <v>7.91</v>
      </c>
      <c r="F4" s="5">
        <v>11.87</v>
      </c>
      <c r="G4" s="5">
        <v>15.03</v>
      </c>
      <c r="H4" s="6">
        <v>6670163</v>
      </c>
      <c r="I4" s="7">
        <v>14.54</v>
      </c>
      <c r="J4" s="8">
        <v>38010000</v>
      </c>
      <c r="K4" s="9">
        <v>40000000</v>
      </c>
      <c r="L4" s="10">
        <v>-0.12</v>
      </c>
    </row>
    <row r="5" spans="1:12" x14ac:dyDescent="0.15">
      <c r="A5" s="5" t="s">
        <v>43</v>
      </c>
      <c r="B5" s="5" t="s">
        <v>75</v>
      </c>
      <c r="C5" s="5" t="s">
        <v>11</v>
      </c>
      <c r="D5" s="5">
        <v>4994</v>
      </c>
      <c r="E5" s="5">
        <v>7.07</v>
      </c>
      <c r="F5" s="5">
        <v>9.91</v>
      </c>
      <c r="G5" s="5">
        <v>12.74</v>
      </c>
      <c r="H5" s="6">
        <v>946242</v>
      </c>
      <c r="I5" s="7">
        <v>7.5</v>
      </c>
      <c r="J5" s="8">
        <v>19120000</v>
      </c>
      <c r="K5" s="9">
        <v>20000000</v>
      </c>
      <c r="L5" s="10">
        <v>-0.40100000000000002</v>
      </c>
    </row>
    <row r="6" spans="1:12" x14ac:dyDescent="0.15">
      <c r="A6" s="5" t="s">
        <v>43</v>
      </c>
      <c r="B6" s="5" t="s">
        <v>76</v>
      </c>
      <c r="C6" s="5" t="s">
        <v>12</v>
      </c>
      <c r="D6" s="5">
        <v>4991</v>
      </c>
      <c r="E6" s="5">
        <v>4.3099999999999996</v>
      </c>
      <c r="F6" s="5">
        <v>6.86</v>
      </c>
      <c r="G6" s="5">
        <v>9.93</v>
      </c>
      <c r="H6" s="6">
        <v>2731350</v>
      </c>
      <c r="I6" s="7">
        <v>7.5</v>
      </c>
      <c r="J6" s="8">
        <v>55880000</v>
      </c>
      <c r="K6" s="9">
        <v>60000000</v>
      </c>
      <c r="L6" s="10">
        <v>-0.40200000000000002</v>
      </c>
    </row>
    <row r="7" spans="1:12" x14ac:dyDescent="0.15">
      <c r="A7" s="5" t="s">
        <v>42</v>
      </c>
      <c r="B7" s="5" t="s">
        <v>77</v>
      </c>
      <c r="C7" s="5" t="s">
        <v>13</v>
      </c>
      <c r="D7" s="5">
        <v>4988</v>
      </c>
      <c r="E7" s="5">
        <v>8.99</v>
      </c>
      <c r="F7" s="5">
        <v>12.99</v>
      </c>
      <c r="G7" s="5">
        <v>15.99</v>
      </c>
      <c r="H7" s="6">
        <v>297777</v>
      </c>
      <c r="I7" s="7">
        <v>7.5</v>
      </c>
      <c r="J7" s="8">
        <v>5094000</v>
      </c>
      <c r="K7" s="9">
        <v>5000000</v>
      </c>
      <c r="L7" s="10">
        <v>-0.379</v>
      </c>
    </row>
    <row r="8" spans="1:12" x14ac:dyDescent="0.15">
      <c r="A8" s="5" t="s">
        <v>42</v>
      </c>
      <c r="B8" s="5" t="s">
        <v>78</v>
      </c>
      <c r="C8" s="5" t="s">
        <v>14</v>
      </c>
      <c r="D8" s="5">
        <v>4993</v>
      </c>
      <c r="E8" s="5">
        <v>6.62</v>
      </c>
      <c r="F8" s="5">
        <v>10.43</v>
      </c>
      <c r="G8" s="5">
        <v>14.24</v>
      </c>
      <c r="H8" s="6">
        <v>8346371</v>
      </c>
      <c r="I8" s="7">
        <v>7.5</v>
      </c>
      <c r="J8" s="8">
        <v>128900000</v>
      </c>
      <c r="K8" s="9">
        <v>100000000</v>
      </c>
      <c r="L8" s="10">
        <v>-0.36499999999999999</v>
      </c>
    </row>
    <row r="9" spans="1:12" x14ac:dyDescent="0.15">
      <c r="A9" s="5" t="s">
        <v>42</v>
      </c>
      <c r="B9" s="5" t="s">
        <v>79</v>
      </c>
      <c r="C9" s="5" t="s">
        <v>15</v>
      </c>
      <c r="D9" s="5">
        <v>5818</v>
      </c>
      <c r="E9" s="5">
        <v>8.99</v>
      </c>
      <c r="F9" s="5">
        <v>13.99</v>
      </c>
      <c r="G9" s="5">
        <v>17.989999999999998</v>
      </c>
      <c r="H9" s="6">
        <v>67278433</v>
      </c>
      <c r="I9" s="7">
        <v>14.54</v>
      </c>
      <c r="J9" s="8">
        <v>329500000</v>
      </c>
      <c r="K9" s="9">
        <v>300000000</v>
      </c>
      <c r="L9" s="10">
        <v>-0.109</v>
      </c>
    </row>
    <row r="11" spans="1:12" x14ac:dyDescent="0.15">
      <c r="F11" s="7">
        <f>F2-E2</f>
        <v>2.5599999999999996</v>
      </c>
      <c r="G11" s="7">
        <f>G2-F2</f>
        <v>2.96</v>
      </c>
    </row>
    <row r="12" spans="1:12" x14ac:dyDescent="0.15">
      <c r="F12" s="7">
        <f t="shared" ref="F12:G18" si="0">F3-E3</f>
        <v>2.5</v>
      </c>
      <c r="G12" s="7">
        <f t="shared" si="0"/>
        <v>2.8500000000000005</v>
      </c>
    </row>
    <row r="13" spans="1:12" x14ac:dyDescent="0.15">
      <c r="F13" s="7">
        <f t="shared" si="0"/>
        <v>3.9599999999999991</v>
      </c>
      <c r="G13" s="7">
        <f t="shared" si="0"/>
        <v>3.16</v>
      </c>
    </row>
    <row r="14" spans="1:12" x14ac:dyDescent="0.15">
      <c r="F14" s="7">
        <f t="shared" si="0"/>
        <v>2.84</v>
      </c>
      <c r="G14" s="7">
        <f t="shared" si="0"/>
        <v>2.83</v>
      </c>
    </row>
    <row r="15" spans="1:12" x14ac:dyDescent="0.15">
      <c r="F15" s="7">
        <f t="shared" si="0"/>
        <v>2.5500000000000007</v>
      </c>
      <c r="G15" s="7">
        <f t="shared" si="0"/>
        <v>3.0699999999999994</v>
      </c>
    </row>
    <row r="16" spans="1:12" x14ac:dyDescent="0.15">
      <c r="F16" s="7">
        <f t="shared" si="0"/>
        <v>4</v>
      </c>
      <c r="G16" s="7">
        <f t="shared" si="0"/>
        <v>3</v>
      </c>
    </row>
    <row r="17" spans="6:7" x14ac:dyDescent="0.15">
      <c r="F17" s="7">
        <f t="shared" si="0"/>
        <v>3.8099999999999996</v>
      </c>
      <c r="G17" s="7">
        <f t="shared" si="0"/>
        <v>3.8100000000000005</v>
      </c>
    </row>
    <row r="18" spans="6:7" x14ac:dyDescent="0.15">
      <c r="F18" s="7">
        <f t="shared" si="0"/>
        <v>5</v>
      </c>
      <c r="G18" s="7">
        <f t="shared" si="0"/>
        <v>3.9999999999999982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A51DFE9D6564A91E8BCE1322CF12F" ma:contentTypeVersion="8" ma:contentTypeDescription="Create a new document." ma:contentTypeScope="" ma:versionID="6484392129cbe49406964f7f3d951904">
  <xsd:schema xmlns:xsd="http://www.w3.org/2001/XMLSchema" xmlns:xs="http://www.w3.org/2001/XMLSchema" xmlns:p="http://schemas.microsoft.com/office/2006/metadata/properties" xmlns:ns2="7d1e56aa-0826-47ec-bf00-0d41dfc0e875" targetNamespace="http://schemas.microsoft.com/office/2006/metadata/properties" ma:root="true" ma:fieldsID="8d4af2815f32e7b8ebef87e7a150a633" ns2:_="">
    <xsd:import namespace="7d1e56aa-0826-47ec-bf00-0d41dfc0e8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e56aa-0826-47ec-bf00-0d41dfc0e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791555-CA99-407B-A15B-A1A3E5697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1e56aa-0826-47ec-bf00-0d41dfc0e8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D257F7-78AC-497B-B1D0-1899B802F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74C484-68BF-4401-A3DD-D106B6E6037E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7d1e56aa-0826-47ec-bf00-0d41dfc0e8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Non LP Model</vt:lpstr>
      <vt:lpstr>Data - Dij</vt:lpstr>
      <vt:lpstr>Fixed Cost</vt:lpstr>
      <vt:lpstr>Variable Cost</vt:lpstr>
      <vt:lpstr>Data by Country</vt:lpstr>
      <vt:lpstr>'Non LP Model'!Print_Area</vt:lpstr>
    </vt:vector>
  </TitlesOfParts>
  <Manager/>
  <Company>KGSM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s-chopra</dc:creator>
  <cp:keywords/>
  <dc:description/>
  <cp:lastModifiedBy>Yun Wang</cp:lastModifiedBy>
  <cp:revision/>
  <dcterms:created xsi:type="dcterms:W3CDTF">1997-07-17T14:28:53Z</dcterms:created>
  <dcterms:modified xsi:type="dcterms:W3CDTF">2022-03-23T03:46:57Z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0x010100B24A51DFE9D6564A91E8BCE1322CF12F</vt:lpwstr>
  </property>
</Properties>
</file>