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\OneDrive - ETHZ\Thesis\PM\Data_Prep_ABM\"/>
    </mc:Choice>
  </mc:AlternateContent>
  <xr:revisionPtr revIDLastSave="582" documentId="8_{AF2E34DB-4D21-4C1B-B3C5-ED27A0B74828}" xr6:coauthVersionLast="43" xr6:coauthVersionMax="43" xr10:uidLastSave="{1DA9B0BA-A8A4-4064-861A-19BEF70E2F30}"/>
  <bookViews>
    <workbookView xWindow="-108" yWindow="-108" windowWidth="23256" windowHeight="12576" activeTab="1" xr2:uid="{B3C455F6-5549-4E97-B4B9-79A45E3DCD91}"/>
  </bookViews>
  <sheets>
    <sheet name="Sheet1" sheetId="1" r:id="rId1"/>
    <sheet name="Sheet5" sheetId="5" r:id="rId2"/>
    <sheet name="Sheet6" sheetId="6" r:id="rId3"/>
    <sheet name="Sheet2" sheetId="2" r:id="rId4"/>
    <sheet name="Sheet3" sheetId="3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5" l="1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H38" i="6" l="1"/>
  <c r="H39" i="6"/>
  <c r="H41" i="6"/>
  <c r="H42" i="6"/>
  <c r="H43" i="6"/>
  <c r="H37" i="6"/>
  <c r="H28" i="6"/>
  <c r="H29" i="6"/>
  <c r="H30" i="6"/>
  <c r="H31" i="6"/>
  <c r="H32" i="6"/>
  <c r="H27" i="6"/>
  <c r="G38" i="6"/>
  <c r="G39" i="6"/>
  <c r="G40" i="6"/>
  <c r="G41" i="6"/>
  <c r="G42" i="6"/>
  <c r="G37" i="6"/>
  <c r="G28" i="6"/>
  <c r="G29" i="6"/>
  <c r="G30" i="6"/>
  <c r="G31" i="6"/>
  <c r="G32" i="6"/>
  <c r="G27" i="6"/>
  <c r="G16" i="6" l="1"/>
  <c r="G17" i="6"/>
  <c r="G18" i="6"/>
  <c r="G19" i="6"/>
  <c r="G20" i="6"/>
  <c r="G21" i="6"/>
  <c r="H16" i="6"/>
  <c r="H17" i="6"/>
  <c r="H18" i="6"/>
  <c r="H19" i="6"/>
  <c r="H20" i="6"/>
  <c r="H21" i="6"/>
  <c r="H15" i="6"/>
  <c r="H6" i="6"/>
  <c r="H7" i="6"/>
  <c r="H8" i="6"/>
  <c r="H9" i="6"/>
  <c r="H10" i="6"/>
  <c r="H5" i="6"/>
  <c r="I5" i="6" s="1"/>
  <c r="G15" i="6"/>
  <c r="G6" i="6"/>
  <c r="G7" i="6"/>
  <c r="G8" i="6"/>
  <c r="G9" i="6"/>
  <c r="G10" i="6"/>
  <c r="G5" i="6"/>
  <c r="P41" i="5" l="1"/>
  <c r="H25" i="5"/>
  <c r="P21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1" i="5"/>
  <c r="P26" i="5" l="1"/>
  <c r="P25" i="5"/>
  <c r="Q26" i="5" s="1"/>
  <c r="P37" i="5"/>
  <c r="U37" i="5" s="1"/>
  <c r="P33" i="5"/>
  <c r="P45" i="5"/>
  <c r="P29" i="5"/>
  <c r="P40" i="5"/>
  <c r="P32" i="5"/>
  <c r="Q33" i="5" s="1"/>
  <c r="P28" i="5"/>
  <c r="P47" i="5"/>
  <c r="P43" i="5"/>
  <c r="P39" i="5"/>
  <c r="P35" i="5"/>
  <c r="P31" i="5"/>
  <c r="P27" i="5"/>
  <c r="P44" i="5"/>
  <c r="P36" i="5"/>
  <c r="P46" i="5"/>
  <c r="P42" i="5"/>
  <c r="P38" i="5"/>
  <c r="P34" i="5"/>
  <c r="P30" i="5"/>
  <c r="Q29" i="5"/>
  <c r="Q30" i="5"/>
  <c r="Q35" i="5"/>
  <c r="U31" i="5"/>
  <c r="U27" i="5"/>
  <c r="U28" i="5"/>
  <c r="U26" i="5"/>
  <c r="Q28" i="5"/>
  <c r="U30" i="5"/>
  <c r="U34" i="5"/>
  <c r="U29" i="5"/>
  <c r="Q31" i="5"/>
  <c r="U33" i="5"/>
  <c r="Q27" i="5" l="1"/>
  <c r="U35" i="5"/>
  <c r="Q32" i="5"/>
  <c r="U41" i="5"/>
  <c r="Q34" i="5"/>
  <c r="U32" i="5"/>
  <c r="U45" i="5" l="1"/>
  <c r="U36" i="5"/>
  <c r="Q37" i="5"/>
  <c r="Q36" i="5"/>
  <c r="U39" i="5"/>
  <c r="Q39" i="5"/>
  <c r="Q38" i="5"/>
  <c r="U38" i="5"/>
  <c r="Q42" i="5" l="1"/>
  <c r="U42" i="5"/>
  <c r="U40" i="5"/>
  <c r="Q40" i="5"/>
  <c r="Q41" i="5"/>
  <c r="U43" i="5"/>
  <c r="Q43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26" i="5"/>
  <c r="D39" i="5"/>
  <c r="U47" i="5" l="1"/>
  <c r="Q47" i="5"/>
  <c r="Q46" i="5"/>
  <c r="U46" i="5"/>
  <c r="U44" i="5"/>
  <c r="Q44" i="5"/>
  <c r="Q45" i="5"/>
  <c r="D26" i="5"/>
  <c r="I18" i="6" l="1"/>
  <c r="I16" i="6"/>
  <c r="I19" i="6"/>
  <c r="I20" i="6"/>
  <c r="I17" i="6"/>
  <c r="I21" i="6"/>
  <c r="F18" i="6"/>
  <c r="F19" i="6"/>
  <c r="F20" i="6"/>
  <c r="F21" i="6"/>
  <c r="F16" i="6"/>
  <c r="F17" i="6"/>
  <c r="E11" i="6"/>
  <c r="H11" i="6" s="1"/>
  <c r="H12" i="6" s="1"/>
  <c r="E22" i="6"/>
  <c r="H22" i="6" s="1"/>
  <c r="D33" i="6"/>
  <c r="G33" i="6" s="1"/>
  <c r="D22" i="6"/>
  <c r="G22" i="6" s="1"/>
  <c r="D43" i="6"/>
  <c r="I42" i="6"/>
  <c r="F42" i="6"/>
  <c r="F41" i="6"/>
  <c r="E40" i="6"/>
  <c r="I39" i="6"/>
  <c r="F39" i="6"/>
  <c r="F38" i="6"/>
  <c r="F37" i="6"/>
  <c r="F32" i="6"/>
  <c r="I31" i="6"/>
  <c r="F31" i="6"/>
  <c r="I29" i="6"/>
  <c r="F29" i="6"/>
  <c r="F28" i="6"/>
  <c r="F27" i="6"/>
  <c r="F15" i="6"/>
  <c r="I7" i="6"/>
  <c r="I10" i="6"/>
  <c r="F40" i="6" l="1"/>
  <c r="H40" i="6"/>
  <c r="F43" i="6"/>
  <c r="G43" i="6"/>
  <c r="I41" i="6"/>
  <c r="I9" i="6"/>
  <c r="G12" i="6"/>
  <c r="I40" i="6"/>
  <c r="I6" i="6"/>
  <c r="I32" i="6"/>
  <c r="I38" i="6"/>
  <c r="I28" i="6"/>
  <c r="G23" i="6"/>
  <c r="I37" i="6"/>
  <c r="I27" i="6"/>
  <c r="I15" i="6"/>
  <c r="F28" i="5"/>
  <c r="F27" i="5"/>
  <c r="R27" i="5" s="1"/>
  <c r="S27" i="5" s="1"/>
  <c r="T27" i="5" s="1"/>
  <c r="F29" i="5"/>
  <c r="F30" i="5"/>
  <c r="F31" i="5"/>
  <c r="F32" i="5"/>
  <c r="F33" i="5"/>
  <c r="F34" i="5"/>
  <c r="F35" i="5"/>
  <c r="R35" i="5" s="1"/>
  <c r="S35" i="5" s="1"/>
  <c r="T35" i="5" s="1"/>
  <c r="F36" i="5"/>
  <c r="R36" i="5" s="1"/>
  <c r="S36" i="5" s="1"/>
  <c r="T36" i="5" s="1"/>
  <c r="F37" i="5"/>
  <c r="F38" i="5"/>
  <c r="F39" i="5"/>
  <c r="F40" i="5"/>
  <c r="F41" i="5"/>
  <c r="F42" i="5"/>
  <c r="F43" i="5"/>
  <c r="R43" i="5" s="1"/>
  <c r="S43" i="5" s="1"/>
  <c r="T43" i="5" s="1"/>
  <c r="F44" i="5"/>
  <c r="R44" i="5" s="1"/>
  <c r="S44" i="5" s="1"/>
  <c r="T44" i="5" s="1"/>
  <c r="F45" i="5"/>
  <c r="F46" i="5"/>
  <c r="F47" i="5"/>
  <c r="F26" i="5"/>
  <c r="F6" i="6"/>
  <c r="F7" i="6"/>
  <c r="F9" i="6"/>
  <c r="F10" i="6"/>
  <c r="F5" i="6"/>
  <c r="D11" i="6"/>
  <c r="G11" i="6" s="1"/>
  <c r="D27" i="5"/>
  <c r="D28" i="5"/>
  <c r="D29" i="5"/>
  <c r="D30" i="5"/>
  <c r="D31" i="5"/>
  <c r="D32" i="5"/>
  <c r="D33" i="5"/>
  <c r="D34" i="5"/>
  <c r="D35" i="5"/>
  <c r="D36" i="5"/>
  <c r="D37" i="5"/>
  <c r="D38" i="5"/>
  <c r="D40" i="5"/>
  <c r="D41" i="5"/>
  <c r="D42" i="5"/>
  <c r="D43" i="5"/>
  <c r="D44" i="5"/>
  <c r="D45" i="5"/>
  <c r="D46" i="5"/>
  <c r="D47" i="5"/>
  <c r="I26" i="5"/>
  <c r="G28" i="5"/>
  <c r="G27" i="5"/>
  <c r="I27" i="5"/>
  <c r="I28" i="5"/>
  <c r="I29" i="5"/>
  <c r="I31" i="5"/>
  <c r="I33" i="5"/>
  <c r="I35" i="5"/>
  <c r="I36" i="5"/>
  <c r="I39" i="5"/>
  <c r="I41" i="5"/>
  <c r="I43" i="5"/>
  <c r="I44" i="5"/>
  <c r="I47" i="5"/>
  <c r="C22" i="2"/>
  <c r="G26" i="5"/>
  <c r="J36" i="5" l="1"/>
  <c r="K36" i="5" s="1"/>
  <c r="L36" i="5" s="1"/>
  <c r="J35" i="5"/>
  <c r="K35" i="5" s="1"/>
  <c r="L35" i="5" s="1"/>
  <c r="I43" i="6"/>
  <c r="J45" i="5"/>
  <c r="K45" i="5" s="1"/>
  <c r="L45" i="5" s="1"/>
  <c r="R45" i="5"/>
  <c r="S45" i="5" s="1"/>
  <c r="T45" i="5" s="1"/>
  <c r="J37" i="5"/>
  <c r="K37" i="5" s="1"/>
  <c r="L37" i="5" s="1"/>
  <c r="R37" i="5"/>
  <c r="S37" i="5" s="1"/>
  <c r="T37" i="5" s="1"/>
  <c r="J33" i="5"/>
  <c r="K33" i="5" s="1"/>
  <c r="L33" i="5" s="1"/>
  <c r="R33" i="5"/>
  <c r="S33" i="5" s="1"/>
  <c r="T33" i="5" s="1"/>
  <c r="J29" i="5"/>
  <c r="K29" i="5" s="1"/>
  <c r="L29" i="5" s="1"/>
  <c r="R29" i="5"/>
  <c r="S29" i="5" s="1"/>
  <c r="T29" i="5" s="1"/>
  <c r="J40" i="5"/>
  <c r="K40" i="5" s="1"/>
  <c r="L40" i="5" s="1"/>
  <c r="R40" i="5"/>
  <c r="S40" i="5" s="1"/>
  <c r="T40" i="5" s="1"/>
  <c r="J47" i="5"/>
  <c r="K47" i="5" s="1"/>
  <c r="L47" i="5" s="1"/>
  <c r="R47" i="5"/>
  <c r="S47" i="5" s="1"/>
  <c r="T47" i="5" s="1"/>
  <c r="J39" i="5"/>
  <c r="K39" i="5" s="1"/>
  <c r="L39" i="5" s="1"/>
  <c r="R39" i="5"/>
  <c r="S39" i="5" s="1"/>
  <c r="T39" i="5" s="1"/>
  <c r="J31" i="5"/>
  <c r="K31" i="5" s="1"/>
  <c r="L31" i="5" s="1"/>
  <c r="R31" i="5"/>
  <c r="S31" i="5" s="1"/>
  <c r="T31" i="5" s="1"/>
  <c r="J44" i="5"/>
  <c r="K44" i="5" s="1"/>
  <c r="L44" i="5" s="1"/>
  <c r="J27" i="5"/>
  <c r="K27" i="5" s="1"/>
  <c r="L27" i="5" s="1"/>
  <c r="J41" i="5"/>
  <c r="K41" i="5" s="1"/>
  <c r="L41" i="5" s="1"/>
  <c r="R41" i="5"/>
  <c r="S41" i="5" s="1"/>
  <c r="T41" i="5" s="1"/>
  <c r="J26" i="5"/>
  <c r="K26" i="5" s="1"/>
  <c r="L26" i="5" s="1"/>
  <c r="R26" i="5"/>
  <c r="S26" i="5" s="1"/>
  <c r="T26" i="5" s="1"/>
  <c r="J32" i="5"/>
  <c r="K32" i="5" s="1"/>
  <c r="L32" i="5" s="1"/>
  <c r="R32" i="5"/>
  <c r="S32" i="5" s="1"/>
  <c r="T32" i="5" s="1"/>
  <c r="J46" i="5"/>
  <c r="K46" i="5" s="1"/>
  <c r="L46" i="5" s="1"/>
  <c r="R46" i="5"/>
  <c r="S46" i="5" s="1"/>
  <c r="T46" i="5" s="1"/>
  <c r="J42" i="5"/>
  <c r="K42" i="5" s="1"/>
  <c r="L42" i="5" s="1"/>
  <c r="R42" i="5"/>
  <c r="S42" i="5" s="1"/>
  <c r="T42" i="5" s="1"/>
  <c r="R38" i="5"/>
  <c r="S38" i="5" s="1"/>
  <c r="T38" i="5" s="1"/>
  <c r="J38" i="5"/>
  <c r="K38" i="5" s="1"/>
  <c r="L38" i="5" s="1"/>
  <c r="J34" i="5"/>
  <c r="K34" i="5" s="1"/>
  <c r="L34" i="5" s="1"/>
  <c r="R34" i="5"/>
  <c r="S34" i="5" s="1"/>
  <c r="T34" i="5" s="1"/>
  <c r="J30" i="5"/>
  <c r="K30" i="5" s="1"/>
  <c r="L30" i="5" s="1"/>
  <c r="R30" i="5"/>
  <c r="S30" i="5" s="1"/>
  <c r="T30" i="5" s="1"/>
  <c r="J43" i="5"/>
  <c r="K43" i="5" s="1"/>
  <c r="L43" i="5" s="1"/>
  <c r="J28" i="5"/>
  <c r="K28" i="5" s="1"/>
  <c r="L28" i="5" s="1"/>
  <c r="R28" i="5"/>
  <c r="S28" i="5" s="1"/>
  <c r="T28" i="5" s="1"/>
  <c r="I45" i="5"/>
  <c r="I37" i="5"/>
  <c r="I42" i="5"/>
  <c r="I34" i="5"/>
  <c r="I40" i="5"/>
  <c r="I32" i="5"/>
  <c r="I46" i="5"/>
  <c r="I38" i="5"/>
  <c r="I30" i="5"/>
  <c r="C23" i="2"/>
  <c r="H9" i="4" l="1"/>
  <c r="E22" i="2" l="1"/>
  <c r="F22" i="2"/>
  <c r="G22" i="2"/>
  <c r="G23" i="2" s="1"/>
  <c r="H22" i="2"/>
  <c r="H23" i="2" s="1"/>
  <c r="I22" i="2"/>
  <c r="J22" i="2"/>
  <c r="K22" i="2"/>
  <c r="L22" i="2"/>
  <c r="L23" i="2" s="1"/>
  <c r="M22" i="2"/>
  <c r="N22" i="2"/>
  <c r="O22" i="2"/>
  <c r="P22" i="2"/>
  <c r="P23" i="2" s="1"/>
  <c r="Q22" i="2"/>
  <c r="R22" i="2"/>
  <c r="S22" i="2"/>
  <c r="T22" i="2"/>
  <c r="T23" i="2" s="1"/>
  <c r="U22" i="2"/>
  <c r="V22" i="2"/>
  <c r="W22" i="2"/>
  <c r="X22" i="2"/>
  <c r="X23" i="2" s="1"/>
  <c r="Y22" i="2"/>
  <c r="Z22" i="2"/>
  <c r="AA22" i="2"/>
  <c r="AB22" i="2"/>
  <c r="D22" i="2"/>
  <c r="W23" i="2" l="1"/>
  <c r="O23" i="2"/>
  <c r="K23" i="2"/>
  <c r="Z23" i="2"/>
  <c r="V23" i="2"/>
  <c r="R23" i="2"/>
  <c r="N23" i="2"/>
  <c r="J23" i="2"/>
  <c r="F23" i="2"/>
  <c r="AB24" i="2"/>
  <c r="AB23" i="2"/>
  <c r="AA23" i="2"/>
  <c r="S23" i="2"/>
  <c r="D23" i="2"/>
  <c r="D25" i="2" s="1"/>
  <c r="D24" i="2"/>
  <c r="Y23" i="2"/>
  <c r="U23" i="2"/>
  <c r="Q23" i="2"/>
  <c r="M23" i="2"/>
  <c r="I23" i="2"/>
  <c r="E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D20" i="2"/>
  <c r="AB25" i="2" l="1"/>
  <c r="E25" i="2"/>
  <c r="F25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B3" i="3"/>
  <c r="B4" i="3"/>
  <c r="B5" i="3"/>
  <c r="B6" i="3"/>
  <c r="B7" i="3"/>
  <c r="B8" i="3"/>
  <c r="B9" i="3"/>
  <c r="B10" i="3"/>
  <c r="B11" i="3"/>
  <c r="B12" i="3"/>
  <c r="B13" i="3"/>
  <c r="B2" i="3"/>
  <c r="A4" i="1"/>
  <c r="A6" i="1" s="1"/>
  <c r="J25" i="2"/>
  <c r="N25" i="2"/>
  <c r="R25" i="2"/>
  <c r="U25" i="2"/>
  <c r="V25" i="2"/>
  <c r="Z25" i="2"/>
  <c r="M25" i="2" l="1"/>
  <c r="AA25" i="2"/>
  <c r="S25" i="2"/>
  <c r="K25" i="2"/>
  <c r="Y25" i="2"/>
  <c r="Q25" i="2"/>
  <c r="I25" i="2"/>
  <c r="W25" i="2"/>
  <c r="O25" i="2"/>
  <c r="G25" i="2"/>
  <c r="T25" i="2"/>
  <c r="L25" i="2"/>
  <c r="X25" i="2"/>
  <c r="P25" i="2"/>
  <c r="H25" i="2"/>
  <c r="B4" i="2"/>
  <c r="B7" i="2" s="1"/>
  <c r="C4" i="2"/>
  <c r="C7" i="2" s="1"/>
  <c r="D4" i="2"/>
  <c r="D7" i="2" s="1"/>
  <c r="E4" i="2"/>
  <c r="E7" i="2" s="1"/>
  <c r="C5" i="2"/>
  <c r="C6" i="2" s="1"/>
  <c r="D5" i="2"/>
  <c r="D6" i="2" s="1"/>
  <c r="E5" i="2"/>
  <c r="E6" i="2" s="1"/>
  <c r="B5" i="2"/>
  <c r="B6" i="2" s="1"/>
  <c r="U11" i="1" l="1"/>
  <c r="V11" i="1"/>
  <c r="W11" i="1"/>
  <c r="X11" i="1"/>
  <c r="Y11" i="1"/>
  <c r="Z11" i="1"/>
  <c r="T11" i="1"/>
  <c r="T9" i="1"/>
  <c r="U9" i="1" s="1"/>
  <c r="V9" i="1" s="1"/>
  <c r="W9" i="1" s="1"/>
  <c r="X9" i="1" s="1"/>
  <c r="Y9" i="1" s="1"/>
  <c r="Z9" i="1" s="1"/>
  <c r="Z7" i="1"/>
  <c r="Z8" i="1" s="1"/>
  <c r="B4" i="1" l="1"/>
  <c r="B5" i="1" s="1"/>
  <c r="C4" i="1"/>
  <c r="C5" i="1" s="1"/>
  <c r="D4" i="1"/>
  <c r="D5" i="1" s="1"/>
  <c r="E4" i="1"/>
  <c r="E5" i="1" s="1"/>
  <c r="F4" i="1"/>
  <c r="G4" i="1"/>
  <c r="G5" i="1" s="1"/>
  <c r="H4" i="1"/>
  <c r="H5" i="1" s="1"/>
  <c r="I4" i="1"/>
  <c r="I5" i="1" s="1"/>
  <c r="J4" i="1"/>
  <c r="K4" i="1"/>
  <c r="K5" i="1" s="1"/>
  <c r="L4" i="1"/>
  <c r="L5" i="1" s="1"/>
  <c r="M4" i="1"/>
  <c r="M5" i="1" s="1"/>
  <c r="N4" i="1"/>
  <c r="O4" i="1"/>
  <c r="O5" i="1" s="1"/>
  <c r="P4" i="1"/>
  <c r="P5" i="1" s="1"/>
  <c r="Q4" i="1"/>
  <c r="Q5" i="1" s="1"/>
  <c r="R4" i="1"/>
  <c r="S4" i="1"/>
  <c r="S5" i="1" s="1"/>
  <c r="T4" i="1"/>
  <c r="T5" i="1" s="1"/>
  <c r="U4" i="1"/>
  <c r="U5" i="1" s="1"/>
  <c r="V4" i="1"/>
  <c r="W4" i="1"/>
  <c r="W5" i="1" s="1"/>
  <c r="X4" i="1"/>
  <c r="X5" i="1" s="1"/>
  <c r="Y4" i="1"/>
  <c r="Y5" i="1" s="1"/>
  <c r="Z4" i="1"/>
  <c r="Z5" i="1" l="1"/>
  <c r="V5" i="1"/>
  <c r="R5" i="1"/>
  <c r="N5" i="1"/>
  <c r="J5" i="1"/>
  <c r="F5" i="1"/>
  <c r="F8" i="6" l="1"/>
  <c r="F11" i="6"/>
  <c r="I8" i="6" l="1"/>
  <c r="F30" i="6"/>
  <c r="E33" i="6"/>
  <c r="I30" i="6"/>
  <c r="F33" i="6" l="1"/>
  <c r="H33" i="6"/>
  <c r="I33" i="6" s="1"/>
  <c r="I11" i="6"/>
  <c r="I12" i="6"/>
  <c r="F22" i="6"/>
  <c r="I22" i="6" l="1"/>
  <c r="H23" i="6"/>
  <c r="I2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</author>
  </authors>
  <commentList>
    <comment ref="G3" authorId="0" shapeId="0" xr:uid="{424BF04D-04D4-4A5C-A33C-88198C2ED7AA}">
      <text>
        <r>
          <rPr>
            <b/>
            <sz val="9"/>
            <color indexed="81"/>
            <rFont val="Tahoma"/>
            <charset val="1"/>
          </rPr>
          <t>iA:</t>
        </r>
        <r>
          <rPr>
            <sz val="9"/>
            <color indexed="81"/>
            <rFont val="Tahoma"/>
            <charset val="1"/>
          </rPr>
          <t xml:space="preserve">
Wiedikon size = 6856 buildings, = 0.270449% of all Swiss buildings
</t>
        </r>
      </text>
    </comment>
  </commentList>
</comments>
</file>

<file path=xl/sharedStrings.xml><?xml version="1.0" encoding="utf-8"?>
<sst xmlns="http://schemas.openxmlformats.org/spreadsheetml/2006/main" count="108" uniqueCount="56">
  <si>
    <t>Mwpeak DC</t>
  </si>
  <si>
    <t>Alt Wiedikon MWp</t>
  </si>
  <si>
    <t>Alt Wiedikon kWp</t>
  </si>
  <si>
    <t>Alt Wiedikon kWp Cumulative</t>
  </si>
  <si>
    <t>Swiss Cumulative</t>
  </si>
  <si>
    <t>Swiss MWp</t>
  </si>
  <si>
    <t>Wiedikon kWp</t>
  </si>
  <si>
    <t>Wiedikon kWp Cumulative</t>
  </si>
  <si>
    <t xml:space="preserve">Swiss Rate of Increase % </t>
  </si>
  <si>
    <t>Wiedikon Rate of Increase %</t>
  </si>
  <si>
    <t>Wiedikon Rate of Increase Cumulative %</t>
  </si>
  <si>
    <t>Residential</t>
  </si>
  <si>
    <t>Commercial</t>
  </si>
  <si>
    <t>Public</t>
  </si>
  <si>
    <t>All Buildings</t>
  </si>
  <si>
    <t>Total</t>
  </si>
  <si>
    <t>PV Capacity</t>
  </si>
  <si>
    <t>Can Form Community</t>
  </si>
  <si>
    <t>Building Types</t>
  </si>
  <si>
    <t>Number of Buildings</t>
  </si>
  <si>
    <t>Num Systems Installed Each Year</t>
  </si>
  <si>
    <t>Cumulative Num Installed Systems</t>
  </si>
  <si>
    <t>Slope of growth</t>
  </si>
  <si>
    <t xml:space="preserve">Slope of growth Wiedikon </t>
  </si>
  <si>
    <t>Average Size of PV system</t>
  </si>
  <si>
    <t>kWp</t>
  </si>
  <si>
    <t>&lt;4</t>
  </si>
  <si>
    <t>20 - 50</t>
  </si>
  <si>
    <t>50 - 100</t>
  </si>
  <si>
    <t>&gt;100</t>
  </si>
  <si>
    <t>Size unknown</t>
  </si>
  <si>
    <t>4-20 kW</t>
  </si>
  <si>
    <t>average size</t>
  </si>
  <si>
    <t>Num Systems extrapolate from CH level</t>
  </si>
  <si>
    <t>SWISS LEVEL</t>
  </si>
  <si>
    <t>Wiedikon LEVEL</t>
  </si>
  <si>
    <t>#systems</t>
  </si>
  <si>
    <t>Capacity</t>
  </si>
  <si>
    <t>Data from IEA PVPS Reports</t>
  </si>
  <si>
    <t>100-1000</t>
  </si>
  <si>
    <t>&gt;1000</t>
  </si>
  <si>
    <r>
      <rPr>
        <sz val="18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 xml:space="preserve"> Installation Data</t>
    </r>
  </si>
  <si>
    <t>20 - 30</t>
  </si>
  <si>
    <t>30-50</t>
  </si>
  <si>
    <t>Neglecting the very large PV systems</t>
  </si>
  <si>
    <t>data not available in the same format</t>
  </si>
  <si>
    <t>Wiedikon</t>
  </si>
  <si>
    <t>Switzerland</t>
  </si>
  <si>
    <t>YEARS</t>
  </si>
  <si>
    <t>CH MWp</t>
  </si>
  <si>
    <t>Data from IEA PVPS</t>
  </si>
  <si>
    <t>AVERAGE</t>
  </si>
  <si>
    <t>0.270449% of CH buildings in Wiedikon</t>
  </si>
  <si>
    <t>100 MWh Demand buildings</t>
  </si>
  <si>
    <t>0.074041% of CH buildings in Wiedikon</t>
  </si>
  <si>
    <t>Wiedikon LESS THAN 100 MWh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</si>
</sst>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uble">
        <color rgb="FF3F3F3F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6" fillId="6" borderId="0" applyNumberFormat="0" applyBorder="0" applyAlignment="0" applyProtection="0"/>
  </cellStyleXfs>
  <cellXfs count="18">
    <xf numFmtId="0" fontId="0" fillId="0" borderId="0" xfId="0"/>
    <xf numFmtId="17" fontId="0" fillId="0" borderId="0" xfId="0" applyNumberFormat="1"/>
    <xf numFmtId="0" fontId="0" fillId="3" borderId="2" xfId="2" applyFont="1"/>
    <xf numFmtId="0" fontId="2" fillId="2" borderId="1" xfId="1"/>
    <xf numFmtId="17" fontId="2" fillId="2" borderId="1" xfId="1" applyNumberFormat="1"/>
    <xf numFmtId="0" fontId="6" fillId="6" borderId="0" xfId="3"/>
    <xf numFmtId="0" fontId="0" fillId="8" borderId="0" xfId="0" applyFill="1"/>
    <xf numFmtId="0" fontId="6" fillId="8" borderId="0" xfId="3" applyFill="1"/>
    <xf numFmtId="0" fontId="7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2" fillId="2" borderId="1" xfId="1" applyAlignment="1">
      <alignment horizontal="center" wrapText="1"/>
    </xf>
    <xf numFmtId="0" fontId="2" fillId="2" borderId="1" xfId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</cellXfs>
  <cellStyles count="4">
    <cellStyle name="Check Cell" xfId="1" builtinId="23"/>
    <cellStyle name="Neutral" xfId="3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Sheet1!$B$1:$Z$1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Sheet1!$B$4:$Z$4</c:f>
              <c:numCache>
                <c:formatCode>General</c:formatCode>
                <c:ptCount val="25"/>
                <c:pt idx="0">
                  <c:v>2.8099999999999996</c:v>
                </c:pt>
                <c:pt idx="1">
                  <c:v>3.9299999999999997</c:v>
                </c:pt>
                <c:pt idx="2">
                  <c:v>5.01</c:v>
                </c:pt>
                <c:pt idx="3">
                  <c:v>5.87</c:v>
                </c:pt>
                <c:pt idx="4">
                  <c:v>6.9300000000000006</c:v>
                </c:pt>
                <c:pt idx="5">
                  <c:v>7.919999999999999</c:v>
                </c:pt>
                <c:pt idx="6">
                  <c:v>9.5799999999999983</c:v>
                </c:pt>
                <c:pt idx="7">
                  <c:v>11.319999999999999</c:v>
                </c:pt>
                <c:pt idx="8">
                  <c:v>13.44</c:v>
                </c:pt>
                <c:pt idx="9">
                  <c:v>15.859999999999998</c:v>
                </c:pt>
                <c:pt idx="10">
                  <c:v>17.75</c:v>
                </c:pt>
                <c:pt idx="11">
                  <c:v>19.470000000000002</c:v>
                </c:pt>
                <c:pt idx="12">
                  <c:v>21.89</c:v>
                </c:pt>
                <c:pt idx="13">
                  <c:v>25.85</c:v>
                </c:pt>
                <c:pt idx="14">
                  <c:v>27.650000000000002</c:v>
                </c:pt>
                <c:pt idx="15">
                  <c:v>34.92</c:v>
                </c:pt>
                <c:pt idx="16">
                  <c:v>46.900000000000006</c:v>
                </c:pt>
                <c:pt idx="17">
                  <c:v>77.03</c:v>
                </c:pt>
                <c:pt idx="18">
                  <c:v>122.89999999999999</c:v>
                </c:pt>
                <c:pt idx="19">
                  <c:v>220.45999999999998</c:v>
                </c:pt>
                <c:pt idx="20">
                  <c:v>434.06999999999994</c:v>
                </c:pt>
                <c:pt idx="21">
                  <c:v>753.1099999999999</c:v>
                </c:pt>
                <c:pt idx="22">
                  <c:v>1058.1399999999999</c:v>
                </c:pt>
                <c:pt idx="23">
                  <c:v>1391.5</c:v>
                </c:pt>
                <c:pt idx="24">
                  <c:v>1661.47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2-4BBB-BE7F-1BBEE685A8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Sheet1!$B$1:$Z$1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Sheet1!$B$3:$Z$3</c:f>
              <c:numCache>
                <c:formatCode>General</c:formatCode>
                <c:ptCount val="25"/>
                <c:pt idx="0">
                  <c:v>1.4099999999999997</c:v>
                </c:pt>
                <c:pt idx="1">
                  <c:v>1.1200000000000001</c:v>
                </c:pt>
                <c:pt idx="2">
                  <c:v>1.08</c:v>
                </c:pt>
                <c:pt idx="3">
                  <c:v>0.86000000000000032</c:v>
                </c:pt>
                <c:pt idx="4">
                  <c:v>1.0600000000000005</c:v>
                </c:pt>
                <c:pt idx="5">
                  <c:v>0.98999999999999844</c:v>
                </c:pt>
                <c:pt idx="6">
                  <c:v>1.6600000000000001</c:v>
                </c:pt>
                <c:pt idx="7">
                  <c:v>1.7400000000000002</c:v>
                </c:pt>
                <c:pt idx="8">
                  <c:v>2.120000000000001</c:v>
                </c:pt>
                <c:pt idx="9">
                  <c:v>2.4199999999999982</c:v>
                </c:pt>
                <c:pt idx="10">
                  <c:v>1.8900000000000006</c:v>
                </c:pt>
                <c:pt idx="11">
                  <c:v>1.7200000000000024</c:v>
                </c:pt>
                <c:pt idx="12">
                  <c:v>2.4199999999999982</c:v>
                </c:pt>
                <c:pt idx="13">
                  <c:v>3.9600000000000009</c:v>
                </c:pt>
                <c:pt idx="14">
                  <c:v>1.8000000000000007</c:v>
                </c:pt>
                <c:pt idx="15">
                  <c:v>7.269999999999996</c:v>
                </c:pt>
                <c:pt idx="16">
                  <c:v>11.980000000000004</c:v>
                </c:pt>
                <c:pt idx="17">
                  <c:v>30.130000000000003</c:v>
                </c:pt>
                <c:pt idx="18">
                  <c:v>45.86999999999999</c:v>
                </c:pt>
                <c:pt idx="19">
                  <c:v>97.56</c:v>
                </c:pt>
                <c:pt idx="20">
                  <c:v>213.60999999999999</c:v>
                </c:pt>
                <c:pt idx="21">
                  <c:v>319.03999999999996</c:v>
                </c:pt>
                <c:pt idx="22">
                  <c:v>305.02999999999997</c:v>
                </c:pt>
                <c:pt idx="23">
                  <c:v>333.36000000000013</c:v>
                </c:pt>
                <c:pt idx="24">
                  <c:v>269.97000000000003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2-4BBB-BE7F-1BBEE685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13496"/>
        <c:axId val="599715136"/>
      </c:scatterChart>
      <c:valAx>
        <c:axId val="59971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5136"/>
        <c:crosses val="autoZero"/>
        <c:crossBetween val="midCat"/>
      </c:valAx>
      <c:valAx>
        <c:axId val="5997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cat>
          <c:val>
            <c:numRef>
              <c:f>Sheet1!$B$4:$Z$4</c:f>
              <c:numCache>
                <c:formatCode>General</c:formatCode>
                <c:ptCount val="25"/>
                <c:pt idx="0">
                  <c:v>2.8099999999999996</c:v>
                </c:pt>
                <c:pt idx="1">
                  <c:v>3.9299999999999997</c:v>
                </c:pt>
                <c:pt idx="2">
                  <c:v>5.01</c:v>
                </c:pt>
                <c:pt idx="3">
                  <c:v>5.87</c:v>
                </c:pt>
                <c:pt idx="4">
                  <c:v>6.9300000000000006</c:v>
                </c:pt>
                <c:pt idx="5">
                  <c:v>7.919999999999999</c:v>
                </c:pt>
                <c:pt idx="6">
                  <c:v>9.5799999999999983</c:v>
                </c:pt>
                <c:pt idx="7">
                  <c:v>11.319999999999999</c:v>
                </c:pt>
                <c:pt idx="8">
                  <c:v>13.44</c:v>
                </c:pt>
                <c:pt idx="9">
                  <c:v>15.859999999999998</c:v>
                </c:pt>
                <c:pt idx="10">
                  <c:v>17.75</c:v>
                </c:pt>
                <c:pt idx="11">
                  <c:v>19.470000000000002</c:v>
                </c:pt>
                <c:pt idx="12">
                  <c:v>21.89</c:v>
                </c:pt>
                <c:pt idx="13">
                  <c:v>25.85</c:v>
                </c:pt>
                <c:pt idx="14">
                  <c:v>27.650000000000002</c:v>
                </c:pt>
                <c:pt idx="15">
                  <c:v>34.92</c:v>
                </c:pt>
                <c:pt idx="16">
                  <c:v>46.900000000000006</c:v>
                </c:pt>
                <c:pt idx="17">
                  <c:v>77.03</c:v>
                </c:pt>
                <c:pt idx="18">
                  <c:v>122.89999999999999</c:v>
                </c:pt>
                <c:pt idx="19">
                  <c:v>220.45999999999998</c:v>
                </c:pt>
                <c:pt idx="20">
                  <c:v>434.06999999999994</c:v>
                </c:pt>
                <c:pt idx="21">
                  <c:v>753.1099999999999</c:v>
                </c:pt>
                <c:pt idx="22">
                  <c:v>1058.1399999999999</c:v>
                </c:pt>
                <c:pt idx="23">
                  <c:v>1391.5</c:v>
                </c:pt>
                <c:pt idx="24">
                  <c:v>1661.47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5-4EDF-9A7E-427C6C45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78712"/>
        <c:axId val="598675104"/>
      </c:barChart>
      <c:catAx>
        <c:axId val="59867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75104"/>
        <c:crosses val="autoZero"/>
        <c:auto val="1"/>
        <c:lblAlgn val="ctr"/>
        <c:lblOffset val="100"/>
        <c:noMultiLvlLbl val="0"/>
      </c:catAx>
      <c:valAx>
        <c:axId val="5986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7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CH Projection MWp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Sheet5!$A$25:$A$47</c:f>
              <c:numCache>
                <c:formatCode>General</c:formatCode>
                <c:ptCount val="2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</c:numCache>
            </c:numRef>
          </c:xVal>
          <c:yVal>
            <c:numRef>
              <c:f>Sheet5!$B$25:$B$47</c:f>
              <c:numCache>
                <c:formatCode>General</c:formatCode>
                <c:ptCount val="23"/>
                <c:pt idx="0">
                  <c:v>753.1099999999999</c:v>
                </c:pt>
                <c:pt idx="1">
                  <c:v>1058.1399999999999</c:v>
                </c:pt>
                <c:pt idx="2">
                  <c:v>1391.5</c:v>
                </c:pt>
                <c:pt idx="3">
                  <c:v>1661.47</c:v>
                </c:pt>
                <c:pt idx="4">
                  <c:v>1980.665</c:v>
                </c:pt>
                <c:pt idx="5">
                  <c:v>2286.509</c:v>
                </c:pt>
                <c:pt idx="6">
                  <c:v>2592.3530000000001</c:v>
                </c:pt>
                <c:pt idx="7">
                  <c:v>2898.1970000000001</c:v>
                </c:pt>
                <c:pt idx="8">
                  <c:v>3204.0410000000002</c:v>
                </c:pt>
                <c:pt idx="9">
                  <c:v>3509.8850000000002</c:v>
                </c:pt>
                <c:pt idx="10">
                  <c:v>3815.7289999999998</c:v>
                </c:pt>
                <c:pt idx="11">
                  <c:v>4121.5730000000003</c:v>
                </c:pt>
                <c:pt idx="12">
                  <c:v>4427.4170000000004</c:v>
                </c:pt>
                <c:pt idx="13">
                  <c:v>4733.2610000000004</c:v>
                </c:pt>
                <c:pt idx="14">
                  <c:v>5039.1049999999996</c:v>
                </c:pt>
                <c:pt idx="15">
                  <c:v>5344.9489999999996</c:v>
                </c:pt>
                <c:pt idx="16">
                  <c:v>5650.7929999999997</c:v>
                </c:pt>
                <c:pt idx="17">
                  <c:v>5956.6369999999997</c:v>
                </c:pt>
                <c:pt idx="18">
                  <c:v>6262.4809999999998</c:v>
                </c:pt>
                <c:pt idx="19">
                  <c:v>6568.3249999999998</c:v>
                </c:pt>
                <c:pt idx="20">
                  <c:v>6874.1689999999999</c:v>
                </c:pt>
                <c:pt idx="21">
                  <c:v>7180.0129999999999</c:v>
                </c:pt>
                <c:pt idx="22">
                  <c:v>7485.857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9-42C1-A7A5-75D47BE7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66624"/>
        <c:axId val="476269904"/>
      </c:scatterChart>
      <c:valAx>
        <c:axId val="4762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69904"/>
        <c:crosses val="autoZero"/>
        <c:crossBetween val="midCat"/>
      </c:valAx>
      <c:valAx>
        <c:axId val="4762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Sheet5!$A$25:$A$28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xVal>
          <c:yVal>
            <c:numRef>
              <c:f>Sheet5!$B$25:$B$28</c:f>
              <c:numCache>
                <c:formatCode>General</c:formatCode>
                <c:ptCount val="4"/>
                <c:pt idx="0">
                  <c:v>753.1099999999999</c:v>
                </c:pt>
                <c:pt idx="1">
                  <c:v>1058.1399999999999</c:v>
                </c:pt>
                <c:pt idx="2">
                  <c:v>1391.5</c:v>
                </c:pt>
                <c:pt idx="3">
                  <c:v>1661.47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A-4552-BAFC-B618DC75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8992"/>
        <c:axId val="368586440"/>
      </c:scatterChart>
      <c:valAx>
        <c:axId val="3892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6440"/>
        <c:crosses val="autoZero"/>
        <c:crossBetween val="midCat"/>
      </c:valAx>
      <c:valAx>
        <c:axId val="3685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Wiedikon</a:t>
            </a:r>
            <a:r>
              <a:rPr lang="de-CH" baseline="0"/>
              <a:t> Projection kWp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1426071741034"/>
          <c:y val="0.17171296296296298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Sheet5!$A$25:$A$47</c:f>
              <c:numCache>
                <c:formatCode>General</c:formatCode>
                <c:ptCount val="2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</c:numCache>
            </c:numRef>
          </c:xVal>
          <c:yVal>
            <c:numRef>
              <c:f>Sheet5!$H$25:$H$47</c:f>
              <c:numCache>
                <c:formatCode>General</c:formatCode>
                <c:ptCount val="23"/>
                <c:pt idx="0">
                  <c:v>2036.7784638999997</c:v>
                </c:pt>
                <c:pt idx="1">
                  <c:v>2861.7290485999993</c:v>
                </c:pt>
                <c:pt idx="2">
                  <c:v>3763.2978349999998</c:v>
                </c:pt>
                <c:pt idx="3">
                  <c:v>4493.4290002999996</c:v>
                </c:pt>
                <c:pt idx="4">
                  <c:v>5356.6886858499993</c:v>
                </c:pt>
                <c:pt idx="5">
                  <c:v>6183.8407254099993</c:v>
                </c:pt>
                <c:pt idx="6">
                  <c:v>7010.9927649699994</c:v>
                </c:pt>
                <c:pt idx="7">
                  <c:v>7838.1448045299994</c:v>
                </c:pt>
                <c:pt idx="8">
                  <c:v>8665.2968440900004</c:v>
                </c:pt>
                <c:pt idx="9">
                  <c:v>9492.4488836500004</c:v>
                </c:pt>
                <c:pt idx="10">
                  <c:v>10319.600923209999</c:v>
                </c:pt>
                <c:pt idx="11">
                  <c:v>11146.752962770001</c:v>
                </c:pt>
                <c:pt idx="12">
                  <c:v>11973.905002330001</c:v>
                </c:pt>
                <c:pt idx="13">
                  <c:v>12801.057041890001</c:v>
                </c:pt>
                <c:pt idx="14">
                  <c:v>13628.209081449999</c:v>
                </c:pt>
                <c:pt idx="15">
                  <c:v>14455.361121009999</c:v>
                </c:pt>
                <c:pt idx="16">
                  <c:v>15282.513160569999</c:v>
                </c:pt>
                <c:pt idx="17">
                  <c:v>16109.665200129999</c:v>
                </c:pt>
                <c:pt idx="18">
                  <c:v>16936.817239689997</c:v>
                </c:pt>
                <c:pt idx="19">
                  <c:v>17763.969279249999</c:v>
                </c:pt>
                <c:pt idx="20">
                  <c:v>18591.121318809997</c:v>
                </c:pt>
                <c:pt idx="21">
                  <c:v>19418.273358369999</c:v>
                </c:pt>
                <c:pt idx="22">
                  <c:v>20245.425397929997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8-468F-BEC0-9D80E6B3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30648"/>
        <c:axId val="683830976"/>
      </c:scatterChart>
      <c:valAx>
        <c:axId val="6838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30976"/>
        <c:crosses val="autoZero"/>
        <c:crossBetween val="midCat"/>
      </c:valAx>
      <c:valAx>
        <c:axId val="6838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Number</a:t>
            </a:r>
            <a:r>
              <a:rPr lang="de-CH" baseline="0"/>
              <a:t> of Systems 2016 CH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Sheet6!$C$5:$C$10</c:f>
              <c:strCache>
                <c:ptCount val="6"/>
                <c:pt idx="0">
                  <c:v>&lt;4</c:v>
                </c:pt>
                <c:pt idx="1">
                  <c:v>4-20 kW</c:v>
                </c:pt>
                <c:pt idx="2">
                  <c:v>20 - 50</c:v>
                </c:pt>
                <c:pt idx="3">
                  <c:v>50 - 100</c:v>
                </c:pt>
                <c:pt idx="4">
                  <c:v>&gt;100</c:v>
                </c:pt>
                <c:pt idx="5">
                  <c:v>Size unknown</c:v>
                </c:pt>
              </c:strCache>
            </c:strRef>
          </c:cat>
          <c:val>
            <c:numRef>
              <c:f>Sheet6!$D$5:$D$10</c:f>
              <c:numCache>
                <c:formatCode>General</c:formatCode>
                <c:ptCount val="6"/>
                <c:pt idx="0">
                  <c:v>960</c:v>
                </c:pt>
                <c:pt idx="1">
                  <c:v>5895</c:v>
                </c:pt>
                <c:pt idx="2">
                  <c:v>1318</c:v>
                </c:pt>
                <c:pt idx="3">
                  <c:v>290</c:v>
                </c:pt>
                <c:pt idx="4">
                  <c:v>445</c:v>
                </c:pt>
                <c:pt idx="5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7-4C02-BAF0-1BCFA9A3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851968"/>
        <c:axId val="683850328"/>
      </c:barChart>
      <c:catAx>
        <c:axId val="6838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0328"/>
        <c:crosses val="autoZero"/>
        <c:auto val="1"/>
        <c:lblAlgn val="ctr"/>
        <c:lblOffset val="100"/>
        <c:noMultiLvlLbl val="0"/>
      </c:catAx>
      <c:valAx>
        <c:axId val="6838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Capacity</a:t>
            </a:r>
            <a:r>
              <a:rPr lang="de-CH" baseline="0"/>
              <a:t> 2016 kWp 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Sheet6!$C$5:$C$10</c:f>
              <c:strCache>
                <c:ptCount val="6"/>
                <c:pt idx="0">
                  <c:v>&lt;4</c:v>
                </c:pt>
                <c:pt idx="1">
                  <c:v>4-20 kW</c:v>
                </c:pt>
                <c:pt idx="2">
                  <c:v>20 - 50</c:v>
                </c:pt>
                <c:pt idx="3">
                  <c:v>50 - 100</c:v>
                </c:pt>
                <c:pt idx="4">
                  <c:v>&gt;100</c:v>
                </c:pt>
                <c:pt idx="5">
                  <c:v>Size unknown</c:v>
                </c:pt>
              </c:strCache>
            </c:strRef>
          </c:cat>
          <c:val>
            <c:numRef>
              <c:f>Sheet6!$E$5:$E$10</c:f>
              <c:numCache>
                <c:formatCode>General</c:formatCode>
                <c:ptCount val="6"/>
                <c:pt idx="0">
                  <c:v>2610</c:v>
                </c:pt>
                <c:pt idx="1">
                  <c:v>54884</c:v>
                </c:pt>
                <c:pt idx="2">
                  <c:v>37822</c:v>
                </c:pt>
                <c:pt idx="3">
                  <c:v>20195</c:v>
                </c:pt>
                <c:pt idx="4">
                  <c:v>147789</c:v>
                </c:pt>
                <c:pt idx="5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4-43CD-9656-36636BE2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826384"/>
        <c:axId val="683822776"/>
      </c:barChart>
      <c:catAx>
        <c:axId val="6838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22776"/>
        <c:crosses val="autoZero"/>
        <c:auto val="1"/>
        <c:lblAlgn val="ctr"/>
        <c:lblOffset val="100"/>
        <c:noMultiLvlLbl val="0"/>
      </c:catAx>
      <c:valAx>
        <c:axId val="6838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Sheet2!$C$23:$AB$23</c:f>
              <c:numCache>
                <c:formatCode>General</c:formatCode>
                <c:ptCount val="26"/>
                <c:pt idx="0">
                  <c:v>5.5215999999999985</c:v>
                </c:pt>
                <c:pt idx="1">
                  <c:v>11.082639999999998</c:v>
                </c:pt>
                <c:pt idx="2">
                  <c:v>15.499919999999998</c:v>
                </c:pt>
                <c:pt idx="3">
                  <c:v>19.759439999999998</c:v>
                </c:pt>
                <c:pt idx="4">
                  <c:v>23.15128</c:v>
                </c:pt>
                <c:pt idx="5">
                  <c:v>27.33192</c:v>
                </c:pt>
                <c:pt idx="6">
                  <c:v>31.236479999999993</c:v>
                </c:pt>
                <c:pt idx="7">
                  <c:v>37.783519999999996</c:v>
                </c:pt>
                <c:pt idx="8">
                  <c:v>44.646079999999998</c:v>
                </c:pt>
                <c:pt idx="9">
                  <c:v>53.007359999999998</c:v>
                </c:pt>
                <c:pt idx="10">
                  <c:v>62.551839999999991</c:v>
                </c:pt>
                <c:pt idx="11">
                  <c:v>70.006</c:v>
                </c:pt>
                <c:pt idx="12">
                  <c:v>76.789680000000004</c:v>
                </c:pt>
                <c:pt idx="13">
                  <c:v>86.334159999999997</c:v>
                </c:pt>
                <c:pt idx="14">
                  <c:v>101.9524</c:v>
                </c:pt>
                <c:pt idx="15">
                  <c:v>109.05159999999999</c:v>
                </c:pt>
                <c:pt idx="16">
                  <c:v>137.72447999999997</c:v>
                </c:pt>
                <c:pt idx="17">
                  <c:v>184.97359999999998</c:v>
                </c:pt>
                <c:pt idx="18">
                  <c:v>303.80631999999997</c:v>
                </c:pt>
                <c:pt idx="19">
                  <c:v>484.71759999999995</c:v>
                </c:pt>
                <c:pt idx="20">
                  <c:v>869.49423999999999</c:v>
                </c:pt>
                <c:pt idx="21">
                  <c:v>1711.9720799999998</c:v>
                </c:pt>
                <c:pt idx="22">
                  <c:v>2970.2658399999996</c:v>
                </c:pt>
                <c:pt idx="23">
                  <c:v>4173.3041599999997</c:v>
                </c:pt>
                <c:pt idx="24">
                  <c:v>5488.076</c:v>
                </c:pt>
                <c:pt idx="25">
                  <c:v>6552.8376800000005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F-4148-BF08-01B3E98F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18168"/>
        <c:axId val="492328992"/>
      </c:scatterChart>
      <c:valAx>
        <c:axId val="49231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28992"/>
        <c:crosses val="autoZero"/>
        <c:crossBetween val="midCat"/>
      </c:valAx>
      <c:valAx>
        <c:axId val="4923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1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7</xdr:row>
      <xdr:rowOff>42862</xdr:rowOff>
    </xdr:from>
    <xdr:to>
      <xdr:col>18</xdr:col>
      <xdr:colOff>285749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02E4C-28EF-4E58-A159-207E5205F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533400</xdr:colOff>
      <xdr:row>12</xdr:row>
      <xdr:rowOff>157162</xdr:rowOff>
    </xdr:from>
    <xdr:to>
      <xdr:col>26</xdr:col>
      <xdr:colOff>228600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20601-95F3-4251-9D42-BCC122E23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14287</xdr:rowOff>
    </xdr:from>
    <xdr:to>
      <xdr:col>5</xdr:col>
      <xdr:colOff>190500</xdr:colOff>
      <xdr:row>61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58E7C-4306-410C-9BB8-107BFC548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47</xdr:row>
      <xdr:rowOff>119062</xdr:rowOff>
    </xdr:from>
    <xdr:to>
      <xdr:col>5</xdr:col>
      <xdr:colOff>581025</xdr:colOff>
      <xdr:row>62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6EC10-B724-4810-A066-6BA226E6C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514350</xdr:colOff>
      <xdr:row>47</xdr:row>
      <xdr:rowOff>147637</xdr:rowOff>
    </xdr:from>
    <xdr:to>
      <xdr:col>7</xdr:col>
      <xdr:colOff>409575</xdr:colOff>
      <xdr:row>62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C2841-D25C-40B3-A012-95610977C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</xdr:row>
      <xdr:rowOff>157162</xdr:rowOff>
    </xdr:from>
    <xdr:to>
      <xdr:col>20</xdr:col>
      <xdr:colOff>533400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07DF3-4ED2-4BE4-B1D8-3D8D41556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76200</xdr:colOff>
      <xdr:row>2</xdr:row>
      <xdr:rowOff>157162</xdr:rowOff>
    </xdr:from>
    <xdr:to>
      <xdr:col>28</xdr:col>
      <xdr:colOff>381000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FAAFD-4BDD-4D9E-B35A-DEDDC5D31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453585</xdr:colOff>
      <xdr:row>30</xdr:row>
      <xdr:rowOff>144536</xdr:rowOff>
    </xdr:from>
    <xdr:to>
      <xdr:col>20</xdr:col>
      <xdr:colOff>139065</xdr:colOff>
      <xdr:row>45</xdr:row>
      <xdr:rowOff>138235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89BCC-273D-44C3-AB4C-B10DC153D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4DDC-01B8-4299-8EC8-666935167296}">
  <dimension ref="A1:Z11"/>
  <sheetViews>
    <sheetView workbookViewId="0">
      <selection activeCell="W4" sqref="W4:Z4"/>
    </sheetView>
  </sheetViews>
  <sheetFormatPr defaultRowHeight="14.4" x14ac:dyDescent="0.3"/>
  <sheetData>
    <row r="1" spans="1:26" x14ac:dyDescent="0.3">
      <c r="A1">
        <v>1991</v>
      </c>
      <c r="B1">
        <v>1992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</row>
    <row r="3" spans="1:26" x14ac:dyDescent="0.3">
      <c r="A3">
        <v>1.4</v>
      </c>
      <c r="B3">
        <v>1.4099999999999997</v>
      </c>
      <c r="C3">
        <v>1.1200000000000001</v>
      </c>
      <c r="D3">
        <v>1.08</v>
      </c>
      <c r="E3">
        <v>0.86000000000000032</v>
      </c>
      <c r="F3">
        <v>1.0600000000000005</v>
      </c>
      <c r="G3">
        <v>0.98999999999999844</v>
      </c>
      <c r="H3">
        <v>1.6600000000000001</v>
      </c>
      <c r="I3">
        <v>1.7400000000000002</v>
      </c>
      <c r="J3">
        <v>2.120000000000001</v>
      </c>
      <c r="K3">
        <v>2.4199999999999982</v>
      </c>
      <c r="L3">
        <v>1.8900000000000006</v>
      </c>
      <c r="M3">
        <v>1.7200000000000024</v>
      </c>
      <c r="N3">
        <v>2.4199999999999982</v>
      </c>
      <c r="O3">
        <v>3.9600000000000009</v>
      </c>
      <c r="P3">
        <v>1.8000000000000007</v>
      </c>
      <c r="Q3">
        <v>7.269999999999996</v>
      </c>
      <c r="R3">
        <v>11.980000000000004</v>
      </c>
      <c r="S3">
        <v>30.130000000000003</v>
      </c>
      <c r="T3">
        <v>45.86999999999999</v>
      </c>
      <c r="U3">
        <v>97.56</v>
      </c>
      <c r="V3">
        <v>213.60999999999999</v>
      </c>
      <c r="W3">
        <v>319.03999999999996</v>
      </c>
      <c r="X3">
        <v>305.02999999999997</v>
      </c>
      <c r="Y3">
        <v>333.36000000000013</v>
      </c>
      <c r="Z3">
        <v>269.97000000000003</v>
      </c>
    </row>
    <row r="4" spans="1:26" x14ac:dyDescent="0.3">
      <c r="A4">
        <f>A3</f>
        <v>1.4</v>
      </c>
      <c r="B4">
        <f>B3+SUM($A$3:A$3)</f>
        <v>2.8099999999999996</v>
      </c>
      <c r="C4">
        <f>C3+SUM($A$3:B$3)</f>
        <v>3.9299999999999997</v>
      </c>
      <c r="D4">
        <f>D3+SUM($A$3:C$3)</f>
        <v>5.01</v>
      </c>
      <c r="E4">
        <f>E3+SUM($A$3:D$3)</f>
        <v>5.87</v>
      </c>
      <c r="F4">
        <f>F3+SUM($A$3:E$3)</f>
        <v>6.9300000000000006</v>
      </c>
      <c r="G4">
        <f>G3+SUM($A$3:F$3)</f>
        <v>7.919999999999999</v>
      </c>
      <c r="H4">
        <f>H3+SUM($A$3:G$3)</f>
        <v>9.5799999999999983</v>
      </c>
      <c r="I4">
        <f>I3+SUM($A$3:H$3)</f>
        <v>11.319999999999999</v>
      </c>
      <c r="J4">
        <f>J3+SUM($A$3:I$3)</f>
        <v>13.44</v>
      </c>
      <c r="K4">
        <f>K3+SUM($A$3:J$3)</f>
        <v>15.859999999999998</v>
      </c>
      <c r="L4">
        <f>L3+SUM($A$3:K$3)</f>
        <v>17.75</v>
      </c>
      <c r="M4">
        <f>M3+SUM($A$3:L$3)</f>
        <v>19.470000000000002</v>
      </c>
      <c r="N4">
        <f>N3+SUM($A$3:M$3)</f>
        <v>21.89</v>
      </c>
      <c r="O4">
        <f>O3+SUM($A$3:N$3)</f>
        <v>25.85</v>
      </c>
      <c r="P4">
        <f>P3+SUM($A$3:O$3)</f>
        <v>27.650000000000002</v>
      </c>
      <c r="Q4">
        <f>Q3+SUM($A$3:P$3)</f>
        <v>34.92</v>
      </c>
      <c r="R4">
        <f>R3+SUM($A$3:Q$3)</f>
        <v>46.900000000000006</v>
      </c>
      <c r="S4">
        <f>S3+SUM($A$3:R$3)</f>
        <v>77.03</v>
      </c>
      <c r="T4">
        <f>T3+SUM($A$3:S$3)</f>
        <v>122.89999999999999</v>
      </c>
      <c r="U4">
        <f>U3+SUM($A$3:T$3)</f>
        <v>220.45999999999998</v>
      </c>
      <c r="V4">
        <f>V3+SUM($A$3:U$3)</f>
        <v>434.06999999999994</v>
      </c>
      <c r="W4">
        <f>W3+SUM($A$3:V$3)</f>
        <v>753.1099999999999</v>
      </c>
      <c r="X4">
        <f>X3+SUM($A$3:W$3)</f>
        <v>1058.1399999999999</v>
      </c>
      <c r="Y4">
        <f>Y3+SUM($A$3:X$3)</f>
        <v>1391.5</v>
      </c>
      <c r="Z4">
        <f>Z3+SUM($A$3:Y$3)</f>
        <v>1661.47</v>
      </c>
    </row>
    <row r="5" spans="1:26" x14ac:dyDescent="0.3">
      <c r="B5">
        <f t="shared" ref="B5:Y5" si="0">(B4-A4)/A4</f>
        <v>1.0071428571428569</v>
      </c>
      <c r="C5">
        <f t="shared" si="0"/>
        <v>0.39857651245551612</v>
      </c>
      <c r="D5">
        <f t="shared" si="0"/>
        <v>0.27480916030534353</v>
      </c>
      <c r="E5">
        <f t="shared" si="0"/>
        <v>0.17165668662674657</v>
      </c>
      <c r="F5">
        <f t="shared" si="0"/>
        <v>0.18057921635434421</v>
      </c>
      <c r="G5">
        <f t="shared" si="0"/>
        <v>0.14285714285714263</v>
      </c>
      <c r="H5">
        <f t="shared" si="0"/>
        <v>0.20959595959595953</v>
      </c>
      <c r="I5">
        <f>(I4-H4)/H4</f>
        <v>0.18162839248434243</v>
      </c>
      <c r="J5">
        <f t="shared" si="0"/>
        <v>0.18727915194346301</v>
      </c>
      <c r="K5">
        <f t="shared" si="0"/>
        <v>0.18005952380952367</v>
      </c>
      <c r="L5">
        <f t="shared" si="0"/>
        <v>0.11916771752837343</v>
      </c>
      <c r="M5">
        <f t="shared" si="0"/>
        <v>9.6901408450704357E-2</v>
      </c>
      <c r="N5">
        <f t="shared" si="0"/>
        <v>0.12429378531073436</v>
      </c>
      <c r="O5">
        <f t="shared" si="0"/>
        <v>0.18090452261306536</v>
      </c>
      <c r="P5">
        <f t="shared" si="0"/>
        <v>6.9632495164410085E-2</v>
      </c>
      <c r="Q5">
        <f t="shared" si="0"/>
        <v>0.26292947558770341</v>
      </c>
      <c r="R5">
        <f t="shared" si="0"/>
        <v>0.34306987399770916</v>
      </c>
      <c r="S5">
        <f t="shared" si="0"/>
        <v>0.64243070362473331</v>
      </c>
      <c r="T5">
        <f t="shared" si="0"/>
        <v>0.59548227963131239</v>
      </c>
      <c r="U5">
        <f t="shared" si="0"/>
        <v>0.79381611065907243</v>
      </c>
      <c r="V5">
        <f t="shared" si="0"/>
        <v>0.96892860382835877</v>
      </c>
      <c r="W5">
        <f t="shared" si="0"/>
        <v>0.7349966595249614</v>
      </c>
      <c r="X5">
        <f t="shared" si="0"/>
        <v>0.40502715406779888</v>
      </c>
      <c r="Y5">
        <f t="shared" si="0"/>
        <v>0.31504337800291093</v>
      </c>
      <c r="Z5">
        <f>(Z4-Y4)/Y4</f>
        <v>0.19401365432985987</v>
      </c>
    </row>
    <row r="6" spans="1:26" x14ac:dyDescent="0.3">
      <c r="A6">
        <f>A4*(1.35)^25</f>
        <v>2537.8868067225876</v>
      </c>
      <c r="T6">
        <v>122.89999999999999</v>
      </c>
      <c r="U6">
        <v>220.45999999999998</v>
      </c>
      <c r="V6">
        <v>434.06999999999994</v>
      </c>
      <c r="W6">
        <v>753.1099999999999</v>
      </c>
      <c r="X6">
        <v>1058.1399999999999</v>
      </c>
      <c r="Y6">
        <v>1391.5</v>
      </c>
      <c r="Z6">
        <v>1661.47</v>
      </c>
    </row>
    <row r="7" spans="1:26" x14ac:dyDescent="0.3">
      <c r="Z7">
        <f>Z6-T6</f>
        <v>1538.57</v>
      </c>
    </row>
    <row r="8" spans="1:26" x14ac:dyDescent="0.3">
      <c r="Z8">
        <f>Z7/7</f>
        <v>219.79571428571427</v>
      </c>
    </row>
    <row r="9" spans="1:26" x14ac:dyDescent="0.3">
      <c r="T9">
        <f>T6</f>
        <v>122.89999999999999</v>
      </c>
      <c r="U9">
        <f>T9+$Z$8</f>
        <v>342.69571428571425</v>
      </c>
      <c r="V9">
        <f t="shared" ref="V9:Z9" si="1">U9+$Z$8</f>
        <v>562.49142857142851</v>
      </c>
      <c r="W9">
        <f t="shared" si="1"/>
        <v>782.28714285714273</v>
      </c>
      <c r="X9">
        <f t="shared" si="1"/>
        <v>1002.0828571428569</v>
      </c>
      <c r="Y9">
        <f t="shared" si="1"/>
        <v>1221.8785714285711</v>
      </c>
      <c r="Z9">
        <f t="shared" si="1"/>
        <v>1441.6742857142854</v>
      </c>
    </row>
    <row r="11" spans="1:26" x14ac:dyDescent="0.3">
      <c r="T11">
        <f>T6*0.176</f>
        <v>21.630399999999998</v>
      </c>
      <c r="U11">
        <f t="shared" ref="U11:Z11" si="2">U6*0.176</f>
        <v>38.800959999999996</v>
      </c>
      <c r="V11">
        <f t="shared" si="2"/>
        <v>76.396319999999989</v>
      </c>
      <c r="W11">
        <f t="shared" si="2"/>
        <v>132.54735999999997</v>
      </c>
      <c r="X11">
        <f t="shared" si="2"/>
        <v>186.23263999999998</v>
      </c>
      <c r="Y11">
        <f t="shared" si="2"/>
        <v>244.904</v>
      </c>
      <c r="Z11">
        <f t="shared" si="2"/>
        <v>292.41872000000001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1E39-C71C-4778-A83B-5DE88AB43ADC}">
  <dimension ref="A2:U62"/>
  <sheetViews>
    <sheetView tabSelected="1" topLeftCell="A17" zoomScale="64" workbookViewId="0">
      <selection activeCell="I26" sqref="I26:I47"/>
    </sheetView>
  </sheetViews>
  <sheetFormatPr defaultRowHeight="14.4" x14ac:dyDescent="0.3"/>
  <cols>
    <col min="3" max="4" width="16.6640625" customWidth="1"/>
    <col min="5" max="5" width="14" customWidth="1"/>
    <col min="6" max="6" width="11" customWidth="1"/>
    <col min="7" max="7" width="11.6640625" customWidth="1"/>
    <col min="8" max="8" width="15.33203125" customWidth="1"/>
  </cols>
  <sheetData>
    <row r="2" spans="1:2" x14ac:dyDescent="0.3">
      <c r="A2">
        <v>1991</v>
      </c>
      <c r="B2">
        <v>1.4</v>
      </c>
    </row>
    <row r="3" spans="1:2" x14ac:dyDescent="0.3">
      <c r="A3">
        <v>1992</v>
      </c>
      <c r="B3">
        <v>2.8099999999999996</v>
      </c>
    </row>
    <row r="4" spans="1:2" x14ac:dyDescent="0.3">
      <c r="A4">
        <v>1993</v>
      </c>
      <c r="B4">
        <v>3.9299999999999997</v>
      </c>
    </row>
    <row r="5" spans="1:2" x14ac:dyDescent="0.3">
      <c r="A5">
        <v>1994</v>
      </c>
      <c r="B5">
        <v>5.01</v>
      </c>
    </row>
    <row r="6" spans="1:2" x14ac:dyDescent="0.3">
      <c r="A6">
        <v>1995</v>
      </c>
      <c r="B6">
        <v>5.87</v>
      </c>
    </row>
    <row r="7" spans="1:2" x14ac:dyDescent="0.3">
      <c r="A7">
        <v>1996</v>
      </c>
      <c r="B7">
        <v>6.9300000000000006</v>
      </c>
    </row>
    <row r="8" spans="1:2" x14ac:dyDescent="0.3">
      <c r="A8">
        <v>1997</v>
      </c>
      <c r="B8">
        <v>7.919999999999999</v>
      </c>
    </row>
    <row r="9" spans="1:2" x14ac:dyDescent="0.3">
      <c r="A9">
        <v>1998</v>
      </c>
      <c r="B9">
        <v>9.5799999999999983</v>
      </c>
    </row>
    <row r="10" spans="1:2" x14ac:dyDescent="0.3">
      <c r="A10">
        <v>1999</v>
      </c>
      <c r="B10">
        <v>11.319999999999999</v>
      </c>
    </row>
    <row r="11" spans="1:2" x14ac:dyDescent="0.3">
      <c r="A11">
        <v>2000</v>
      </c>
      <c r="B11">
        <v>13.44</v>
      </c>
    </row>
    <row r="12" spans="1:2" x14ac:dyDescent="0.3">
      <c r="A12">
        <v>2001</v>
      </c>
      <c r="B12">
        <v>15.859999999999998</v>
      </c>
    </row>
    <row r="13" spans="1:2" x14ac:dyDescent="0.3">
      <c r="A13">
        <v>2002</v>
      </c>
      <c r="B13">
        <v>17.75</v>
      </c>
    </row>
    <row r="14" spans="1:2" x14ac:dyDescent="0.3">
      <c r="A14">
        <v>2003</v>
      </c>
      <c r="B14">
        <v>19.470000000000002</v>
      </c>
    </row>
    <row r="15" spans="1:2" x14ac:dyDescent="0.3">
      <c r="A15">
        <v>2004</v>
      </c>
      <c r="B15">
        <v>21.89</v>
      </c>
    </row>
    <row r="16" spans="1:2" x14ac:dyDescent="0.3">
      <c r="A16">
        <v>2005</v>
      </c>
      <c r="B16">
        <v>25.85</v>
      </c>
    </row>
    <row r="17" spans="1:21" x14ac:dyDescent="0.3">
      <c r="A17">
        <v>2006</v>
      </c>
      <c r="B17">
        <v>27.650000000000002</v>
      </c>
    </row>
    <row r="18" spans="1:21" x14ac:dyDescent="0.3">
      <c r="A18">
        <v>2007</v>
      </c>
      <c r="B18">
        <v>34.92</v>
      </c>
    </row>
    <row r="19" spans="1:21" x14ac:dyDescent="0.3">
      <c r="A19">
        <v>2008</v>
      </c>
      <c r="B19">
        <v>46.900000000000006</v>
      </c>
    </row>
    <row r="20" spans="1:21" x14ac:dyDescent="0.3">
      <c r="A20">
        <v>2009</v>
      </c>
      <c r="B20">
        <v>77.03</v>
      </c>
      <c r="P20" s="12" t="s">
        <v>53</v>
      </c>
      <c r="Q20" s="12"/>
      <c r="R20" s="12"/>
      <c r="S20" s="12"/>
    </row>
    <row r="21" spans="1:21" x14ac:dyDescent="0.3">
      <c r="A21">
        <v>2010</v>
      </c>
      <c r="B21">
        <v>122.89999999999999</v>
      </c>
      <c r="H21">
        <f>4701/1738218*100</f>
        <v>0.27044939127313145</v>
      </c>
      <c r="P21">
        <f>1287/1738218*100</f>
        <v>7.4041345792069807E-2</v>
      </c>
    </row>
    <row r="22" spans="1:21" x14ac:dyDescent="0.3">
      <c r="A22">
        <v>2011</v>
      </c>
      <c r="B22">
        <v>220.45999999999998</v>
      </c>
      <c r="H22" t="s">
        <v>52</v>
      </c>
      <c r="P22" t="s">
        <v>54</v>
      </c>
    </row>
    <row r="23" spans="1:21" x14ac:dyDescent="0.3">
      <c r="A23">
        <v>2012</v>
      </c>
      <c r="B23">
        <v>434.06999999999994</v>
      </c>
      <c r="C23" t="s">
        <v>50</v>
      </c>
      <c r="E23" s="9" t="s">
        <v>47</v>
      </c>
      <c r="F23" s="9"/>
      <c r="G23" s="9"/>
      <c r="H23" s="10" t="s">
        <v>46</v>
      </c>
      <c r="I23" s="10"/>
      <c r="J23" s="10"/>
      <c r="K23" s="10"/>
      <c r="P23" s="11" t="s">
        <v>55</v>
      </c>
      <c r="Q23" s="11"/>
      <c r="R23" s="11"/>
      <c r="S23" s="11"/>
    </row>
    <row r="24" spans="1:21" x14ac:dyDescent="0.3">
      <c r="A24" t="s">
        <v>48</v>
      </c>
      <c r="B24" t="s">
        <v>49</v>
      </c>
      <c r="C24" t="s">
        <v>21</v>
      </c>
      <c r="D24" t="s">
        <v>24</v>
      </c>
      <c r="E24" t="s">
        <v>20</v>
      </c>
      <c r="G24" t="s">
        <v>22</v>
      </c>
      <c r="H24" t="s">
        <v>6</v>
      </c>
      <c r="I24" t="s">
        <v>23</v>
      </c>
      <c r="K24" t="s">
        <v>33</v>
      </c>
      <c r="O24" s="6" t="s">
        <v>48</v>
      </c>
      <c r="P24" t="s">
        <v>25</v>
      </c>
      <c r="Q24" t="s">
        <v>23</v>
      </c>
      <c r="S24" t="s">
        <v>33</v>
      </c>
    </row>
    <row r="25" spans="1:21" x14ac:dyDescent="0.3">
      <c r="A25">
        <v>2013</v>
      </c>
      <c r="B25">
        <v>753.1099999999999</v>
      </c>
      <c r="D25" t="s">
        <v>25</v>
      </c>
      <c r="H25">
        <f>2.70449*B25</f>
        <v>2036.7784638999997</v>
      </c>
      <c r="L25" t="s">
        <v>51</v>
      </c>
      <c r="O25" s="6">
        <v>2013</v>
      </c>
      <c r="P25">
        <f>$P$21*10*B25</f>
        <v>557.61277929465678</v>
      </c>
      <c r="T25" t="s">
        <v>51</v>
      </c>
    </row>
    <row r="26" spans="1:21" x14ac:dyDescent="0.3">
      <c r="A26">
        <v>2014</v>
      </c>
      <c r="B26">
        <v>1058.1399999999999</v>
      </c>
      <c r="C26">
        <v>39946</v>
      </c>
      <c r="D26">
        <f>B26*1000/C26</f>
        <v>26.489260501677258</v>
      </c>
      <c r="E26">
        <v>8181</v>
      </c>
      <c r="F26">
        <f>INT(E26)</f>
        <v>8181</v>
      </c>
      <c r="G26">
        <f t="shared" ref="G26:G47" si="0">(B26-B25)</f>
        <v>305.02999999999997</v>
      </c>
      <c r="H26">
        <f t="shared" ref="H26:H47" si="1">2.70449*B26</f>
        <v>2861.7290485999993</v>
      </c>
      <c r="I26">
        <f>(H26-H25)</f>
        <v>824.95058469999958</v>
      </c>
      <c r="J26">
        <f>F26*0.3944/100</f>
        <v>32.265863999999993</v>
      </c>
      <c r="K26">
        <f>INT(J26)</f>
        <v>32</v>
      </c>
      <c r="L26">
        <f>H26/K26</f>
        <v>89.429032768749977</v>
      </c>
      <c r="M26">
        <f>H26/30</f>
        <v>95.390968286666649</v>
      </c>
      <c r="O26" s="6">
        <v>2014</v>
      </c>
      <c r="P26">
        <f t="shared" ref="P26:P47" si="2">$P$21*10*B26</f>
        <v>783.46109636420726</v>
      </c>
      <c r="Q26">
        <f>(P26-P25)</f>
        <v>225.84831706955049</v>
      </c>
      <c r="R26">
        <f>F26*$P$21/100</f>
        <v>6.0573224992492305</v>
      </c>
      <c r="S26">
        <f>INT(R26)</f>
        <v>6</v>
      </c>
      <c r="T26">
        <f>P26/S26</f>
        <v>130.57684939403455</v>
      </c>
      <c r="U26">
        <f>P26/30</f>
        <v>26.115369878806909</v>
      </c>
    </row>
    <row r="27" spans="1:21" x14ac:dyDescent="0.3">
      <c r="A27">
        <v>2015</v>
      </c>
      <c r="B27">
        <v>1391.5</v>
      </c>
      <c r="C27">
        <v>49844</v>
      </c>
      <c r="D27">
        <f t="shared" ref="D27:D47" si="3">B27*1000/C27</f>
        <v>27.917101356231441</v>
      </c>
      <c r="E27">
        <v>9898</v>
      </c>
      <c r="F27">
        <f t="shared" ref="F27:F47" si="4">INT(E27)</f>
        <v>9898</v>
      </c>
      <c r="G27">
        <f t="shared" si="0"/>
        <v>333.36000000000013</v>
      </c>
      <c r="H27">
        <f t="shared" si="1"/>
        <v>3763.2978349999998</v>
      </c>
      <c r="I27">
        <f t="shared" ref="I27:I47" si="5">(H27-H26)</f>
        <v>901.56878640000059</v>
      </c>
      <c r="J27">
        <f t="shared" ref="J27:J47" si="6">F27*0.3944/100</f>
        <v>39.037711999999999</v>
      </c>
      <c r="K27">
        <f t="shared" ref="K27:K47" si="7">INT(J27)</f>
        <v>39</v>
      </c>
      <c r="L27">
        <f t="shared" ref="L27:L47" si="8">H27/K27</f>
        <v>96.494816282051275</v>
      </c>
      <c r="M27">
        <f t="shared" ref="M27:M47" si="9">H27/30</f>
        <v>125.44326116666666</v>
      </c>
      <c r="O27" s="6">
        <v>2015</v>
      </c>
      <c r="P27">
        <f t="shared" si="2"/>
        <v>1030.2853266966513</v>
      </c>
      <c r="Q27">
        <f t="shared" ref="Q27:Q28" si="10">(P27-P26)</f>
        <v>246.82423033244402</v>
      </c>
      <c r="R27">
        <f t="shared" ref="R27:R47" si="11">F27*$P$21/100</f>
        <v>7.3286124064990688</v>
      </c>
      <c r="S27">
        <f t="shared" ref="S27" si="12">INT(R27)</f>
        <v>7</v>
      </c>
      <c r="T27">
        <f t="shared" ref="T27" si="13">P27/S27</f>
        <v>147.18361809952162</v>
      </c>
      <c r="U27">
        <f t="shared" ref="U27:U47" si="14">P27/30</f>
        <v>34.342844223221711</v>
      </c>
    </row>
    <row r="28" spans="1:21" x14ac:dyDescent="0.3">
      <c r="A28">
        <v>2016</v>
      </c>
      <c r="B28">
        <v>1661.47</v>
      </c>
      <c r="C28">
        <v>59000</v>
      </c>
      <c r="D28">
        <f t="shared" si="3"/>
        <v>28.160508474576272</v>
      </c>
      <c r="E28">
        <v>9300</v>
      </c>
      <c r="F28">
        <f>INT(E28)</f>
        <v>9300</v>
      </c>
      <c r="G28">
        <f t="shared" si="0"/>
        <v>269.97000000000003</v>
      </c>
      <c r="H28">
        <f t="shared" si="1"/>
        <v>4493.4290002999996</v>
      </c>
      <c r="I28">
        <f t="shared" si="5"/>
        <v>730.13116529999979</v>
      </c>
      <c r="J28">
        <f t="shared" si="6"/>
        <v>36.679199999999994</v>
      </c>
      <c r="K28">
        <f>INT(J28)</f>
        <v>36</v>
      </c>
      <c r="L28">
        <f>H28/K28</f>
        <v>124.81747223055555</v>
      </c>
      <c r="M28">
        <f t="shared" si="9"/>
        <v>149.78096667666665</v>
      </c>
      <c r="O28" s="6">
        <v>2016</v>
      </c>
      <c r="P28">
        <f t="shared" si="2"/>
        <v>1230.1747479315022</v>
      </c>
      <c r="Q28">
        <f t="shared" si="10"/>
        <v>199.88942123485094</v>
      </c>
      <c r="R28">
        <f t="shared" si="11"/>
        <v>6.8858451586624927</v>
      </c>
      <c r="S28">
        <f>INT(R28)</f>
        <v>6</v>
      </c>
      <c r="T28">
        <f>P28/S28</f>
        <v>205.02912465525037</v>
      </c>
      <c r="U28">
        <f t="shared" si="14"/>
        <v>41.005824931050071</v>
      </c>
    </row>
    <row r="29" spans="1:21" x14ac:dyDescent="0.3">
      <c r="A29">
        <v>2017</v>
      </c>
      <c r="B29">
        <v>1980.665</v>
      </c>
      <c r="C29">
        <v>68650.666666666701</v>
      </c>
      <c r="D29">
        <f t="shared" si="3"/>
        <v>28.851358568986935</v>
      </c>
      <c r="E29">
        <v>10245.333333333299</v>
      </c>
      <c r="F29">
        <f t="shared" si="4"/>
        <v>10245</v>
      </c>
      <c r="G29">
        <f t="shared" si="0"/>
        <v>319.19499999999994</v>
      </c>
      <c r="H29">
        <f t="shared" si="1"/>
        <v>5356.6886858499993</v>
      </c>
      <c r="I29">
        <f>(H29-H28)</f>
        <v>863.25968554999963</v>
      </c>
      <c r="J29">
        <f t="shared" si="6"/>
        <v>40.406279999999995</v>
      </c>
      <c r="K29">
        <f t="shared" si="7"/>
        <v>40</v>
      </c>
      <c r="L29">
        <f t="shared" si="8"/>
        <v>133.91721714624998</v>
      </c>
      <c r="M29">
        <f t="shared" si="9"/>
        <v>178.55628952833331</v>
      </c>
      <c r="O29" s="6">
        <v>2017</v>
      </c>
      <c r="P29">
        <f t="shared" si="2"/>
        <v>1466.5110216324993</v>
      </c>
      <c r="Q29">
        <f>(P29-P28)</f>
        <v>236.33627370099703</v>
      </c>
      <c r="R29">
        <f t="shared" si="11"/>
        <v>7.585535876397552</v>
      </c>
      <c r="S29">
        <f t="shared" ref="S29:S47" si="15">INT(R29)</f>
        <v>7</v>
      </c>
      <c r="T29">
        <f t="shared" ref="T29:T47" si="16">P29/S29</f>
        <v>209.50157451892846</v>
      </c>
      <c r="U29">
        <f t="shared" si="14"/>
        <v>48.883700721083308</v>
      </c>
    </row>
    <row r="30" spans="1:21" x14ac:dyDescent="0.3">
      <c r="A30">
        <v>2018</v>
      </c>
      <c r="B30">
        <v>2286.509</v>
      </c>
      <c r="C30">
        <v>78177.666666666701</v>
      </c>
      <c r="D30">
        <f t="shared" si="3"/>
        <v>29.247598418985802</v>
      </c>
      <c r="E30">
        <v>10804.833333333299</v>
      </c>
      <c r="F30">
        <f t="shared" si="4"/>
        <v>10804</v>
      </c>
      <c r="G30">
        <f t="shared" si="0"/>
        <v>305.84400000000005</v>
      </c>
      <c r="H30">
        <f t="shared" si="1"/>
        <v>6183.8407254099993</v>
      </c>
      <c r="I30">
        <f t="shared" si="5"/>
        <v>827.15203956000005</v>
      </c>
      <c r="J30">
        <f t="shared" si="6"/>
        <v>42.610976000000001</v>
      </c>
      <c r="K30">
        <f t="shared" si="7"/>
        <v>42</v>
      </c>
      <c r="L30">
        <f t="shared" si="8"/>
        <v>147.23430298595235</v>
      </c>
      <c r="M30">
        <f t="shared" si="9"/>
        <v>206.12802418033331</v>
      </c>
      <c r="O30" s="6">
        <v>2018</v>
      </c>
      <c r="P30">
        <f t="shared" si="2"/>
        <v>1692.9620352567972</v>
      </c>
      <c r="Q30">
        <f t="shared" ref="Q30:Q47" si="17">(P30-P29)</f>
        <v>226.45101362429796</v>
      </c>
      <c r="R30">
        <f t="shared" si="11"/>
        <v>7.9994269993752223</v>
      </c>
      <c r="S30">
        <f t="shared" si="15"/>
        <v>7</v>
      </c>
      <c r="T30">
        <f t="shared" si="16"/>
        <v>241.85171932239959</v>
      </c>
      <c r="U30">
        <f t="shared" si="14"/>
        <v>56.432067841893243</v>
      </c>
    </row>
    <row r="31" spans="1:21" x14ac:dyDescent="0.3">
      <c r="A31">
        <v>2019</v>
      </c>
      <c r="B31">
        <v>2592.3530000000001</v>
      </c>
      <c r="C31">
        <v>87704.666666666701</v>
      </c>
      <c r="D31">
        <f t="shared" si="3"/>
        <v>29.557754433439488</v>
      </c>
      <c r="E31">
        <v>11364.333333333299</v>
      </c>
      <c r="F31">
        <f t="shared" si="4"/>
        <v>11364</v>
      </c>
      <c r="G31">
        <f t="shared" si="0"/>
        <v>305.84400000000005</v>
      </c>
      <c r="H31">
        <f t="shared" si="1"/>
        <v>7010.9927649699994</v>
      </c>
      <c r="I31">
        <f t="shared" si="5"/>
        <v>827.15203956000005</v>
      </c>
      <c r="J31">
        <f t="shared" si="6"/>
        <v>44.819615999999996</v>
      </c>
      <c r="K31">
        <f t="shared" si="7"/>
        <v>44</v>
      </c>
      <c r="L31">
        <f t="shared" si="8"/>
        <v>159.34074465840908</v>
      </c>
      <c r="M31">
        <f t="shared" si="9"/>
        <v>233.69975883233332</v>
      </c>
      <c r="O31" s="6">
        <v>2019</v>
      </c>
      <c r="P31">
        <f t="shared" si="2"/>
        <v>1919.4130488810954</v>
      </c>
      <c r="Q31">
        <f t="shared" si="17"/>
        <v>226.45101362429818</v>
      </c>
      <c r="R31">
        <f t="shared" si="11"/>
        <v>8.4140585358108133</v>
      </c>
      <c r="S31">
        <f t="shared" si="15"/>
        <v>8</v>
      </c>
      <c r="T31">
        <f t="shared" si="16"/>
        <v>239.92663111013692</v>
      </c>
      <c r="U31">
        <f t="shared" si="14"/>
        <v>63.980434962703178</v>
      </c>
    </row>
    <row r="32" spans="1:21" x14ac:dyDescent="0.3">
      <c r="A32">
        <v>2020</v>
      </c>
      <c r="B32">
        <v>2898.1970000000001</v>
      </c>
      <c r="C32">
        <v>97231.666666666701</v>
      </c>
      <c r="D32">
        <f t="shared" si="3"/>
        <v>29.807130735871361</v>
      </c>
      <c r="E32">
        <v>11923.833333333299</v>
      </c>
      <c r="F32">
        <f t="shared" si="4"/>
        <v>11923</v>
      </c>
      <c r="G32">
        <f t="shared" si="0"/>
        <v>305.84400000000005</v>
      </c>
      <c r="H32">
        <f t="shared" si="1"/>
        <v>7838.1448045299994</v>
      </c>
      <c r="I32">
        <f t="shared" si="5"/>
        <v>827.15203956000005</v>
      </c>
      <c r="J32">
        <f t="shared" si="6"/>
        <v>47.024312000000002</v>
      </c>
      <c r="K32">
        <f t="shared" si="7"/>
        <v>47</v>
      </c>
      <c r="L32">
        <f t="shared" si="8"/>
        <v>166.76903839425532</v>
      </c>
      <c r="M32">
        <f t="shared" si="9"/>
        <v>261.27149348433329</v>
      </c>
      <c r="O32" s="6">
        <v>2020</v>
      </c>
      <c r="P32">
        <f t="shared" si="2"/>
        <v>2145.8640625053931</v>
      </c>
      <c r="Q32">
        <f t="shared" si="17"/>
        <v>226.45101362429773</v>
      </c>
      <c r="R32">
        <f t="shared" si="11"/>
        <v>8.8279496587884836</v>
      </c>
      <c r="S32">
        <f t="shared" si="15"/>
        <v>8</v>
      </c>
      <c r="T32">
        <f t="shared" si="16"/>
        <v>268.23300781317414</v>
      </c>
      <c r="U32">
        <f t="shared" si="14"/>
        <v>71.528802083513099</v>
      </c>
    </row>
    <row r="33" spans="1:21" x14ac:dyDescent="0.3">
      <c r="A33">
        <v>2021</v>
      </c>
      <c r="B33">
        <v>3204.0410000000002</v>
      </c>
      <c r="C33">
        <v>106758.66666666701</v>
      </c>
      <c r="D33">
        <f t="shared" si="3"/>
        <v>30.011999025840119</v>
      </c>
      <c r="E33">
        <v>12483.333333333299</v>
      </c>
      <c r="F33">
        <f t="shared" si="4"/>
        <v>12483</v>
      </c>
      <c r="G33">
        <f t="shared" si="0"/>
        <v>305.84400000000005</v>
      </c>
      <c r="H33">
        <f t="shared" si="1"/>
        <v>8665.2968440900004</v>
      </c>
      <c r="I33">
        <f t="shared" si="5"/>
        <v>827.15203956000096</v>
      </c>
      <c r="J33">
        <f t="shared" si="6"/>
        <v>49.232951999999997</v>
      </c>
      <c r="K33">
        <f t="shared" si="7"/>
        <v>49</v>
      </c>
      <c r="L33">
        <f t="shared" si="8"/>
        <v>176.84279273653061</v>
      </c>
      <c r="M33">
        <f t="shared" si="9"/>
        <v>288.84322813633332</v>
      </c>
      <c r="O33" s="6">
        <v>2021</v>
      </c>
      <c r="P33">
        <f t="shared" si="2"/>
        <v>2372.3150761296915</v>
      </c>
      <c r="Q33">
        <f t="shared" si="17"/>
        <v>226.45101362429841</v>
      </c>
      <c r="R33">
        <f t="shared" si="11"/>
        <v>9.2425811952240728</v>
      </c>
      <c r="S33">
        <f t="shared" si="15"/>
        <v>9</v>
      </c>
      <c r="T33">
        <f t="shared" si="16"/>
        <v>263.59056401441018</v>
      </c>
      <c r="U33">
        <f t="shared" si="14"/>
        <v>79.077169204323056</v>
      </c>
    </row>
    <row r="34" spans="1:21" x14ac:dyDescent="0.3">
      <c r="A34">
        <v>2022</v>
      </c>
      <c r="B34">
        <v>3509.8850000000002</v>
      </c>
      <c r="C34">
        <v>116285.66666666701</v>
      </c>
      <c r="D34">
        <f t="shared" si="3"/>
        <v>30.183298600859288</v>
      </c>
      <c r="E34">
        <v>13042.833333333299</v>
      </c>
      <c r="F34">
        <f t="shared" si="4"/>
        <v>13042</v>
      </c>
      <c r="G34">
        <f t="shared" si="0"/>
        <v>305.84400000000005</v>
      </c>
      <c r="H34">
        <f t="shared" si="1"/>
        <v>9492.4488836500004</v>
      </c>
      <c r="I34">
        <f t="shared" si="5"/>
        <v>827.15203956000005</v>
      </c>
      <c r="J34">
        <f t="shared" si="6"/>
        <v>51.437647999999996</v>
      </c>
      <c r="K34">
        <f t="shared" si="7"/>
        <v>51</v>
      </c>
      <c r="L34">
        <f t="shared" si="8"/>
        <v>186.12644869901962</v>
      </c>
      <c r="M34">
        <f t="shared" si="9"/>
        <v>316.41496278833336</v>
      </c>
      <c r="O34" s="6">
        <v>2022</v>
      </c>
      <c r="P34">
        <f t="shared" si="2"/>
        <v>2598.7660897539895</v>
      </c>
      <c r="Q34">
        <f t="shared" si="17"/>
        <v>226.45101362429796</v>
      </c>
      <c r="R34">
        <f t="shared" si="11"/>
        <v>9.6564723182017431</v>
      </c>
      <c r="S34">
        <f t="shared" si="15"/>
        <v>9</v>
      </c>
      <c r="T34">
        <f t="shared" si="16"/>
        <v>288.75178775044327</v>
      </c>
      <c r="U34">
        <f t="shared" si="14"/>
        <v>86.625536325132984</v>
      </c>
    </row>
    <row r="35" spans="1:21" x14ac:dyDescent="0.3">
      <c r="A35">
        <v>2023</v>
      </c>
      <c r="B35">
        <v>3815.7289999999998</v>
      </c>
      <c r="C35">
        <v>125812.66666666701</v>
      </c>
      <c r="D35">
        <f t="shared" si="3"/>
        <v>30.328655302327718</v>
      </c>
      <c r="E35">
        <v>13602.333333333299</v>
      </c>
      <c r="F35">
        <f t="shared" si="4"/>
        <v>13602</v>
      </c>
      <c r="G35">
        <f t="shared" si="0"/>
        <v>305.8439999999996</v>
      </c>
      <c r="H35">
        <f t="shared" si="1"/>
        <v>10319.600923209999</v>
      </c>
      <c r="I35">
        <f t="shared" si="5"/>
        <v>827.15203955999823</v>
      </c>
      <c r="J35">
        <f t="shared" si="6"/>
        <v>53.646287999999998</v>
      </c>
      <c r="K35">
        <f t="shared" si="7"/>
        <v>53</v>
      </c>
      <c r="L35">
        <f t="shared" si="8"/>
        <v>194.70945138132072</v>
      </c>
      <c r="M35">
        <f t="shared" si="9"/>
        <v>343.98669744033327</v>
      </c>
      <c r="O35" s="6">
        <v>2023</v>
      </c>
      <c r="P35">
        <f t="shared" si="2"/>
        <v>2825.217103378287</v>
      </c>
      <c r="Q35">
        <f t="shared" si="17"/>
        <v>226.4510136242975</v>
      </c>
      <c r="R35">
        <f t="shared" si="11"/>
        <v>10.071103854637336</v>
      </c>
      <c r="S35">
        <f t="shared" si="15"/>
        <v>10</v>
      </c>
      <c r="T35">
        <f t="shared" si="16"/>
        <v>282.52171033782872</v>
      </c>
      <c r="U35">
        <f t="shared" si="14"/>
        <v>94.173903445942898</v>
      </c>
    </row>
    <row r="36" spans="1:21" x14ac:dyDescent="0.3">
      <c r="A36">
        <v>2024</v>
      </c>
      <c r="B36">
        <v>4121.5730000000003</v>
      </c>
      <c r="C36">
        <v>135339.66666666701</v>
      </c>
      <c r="D36">
        <f t="shared" si="3"/>
        <v>30.45354774037661</v>
      </c>
      <c r="E36">
        <v>14161.833333333299</v>
      </c>
      <c r="F36">
        <f t="shared" si="4"/>
        <v>14161</v>
      </c>
      <c r="G36">
        <f t="shared" si="0"/>
        <v>305.84400000000051</v>
      </c>
      <c r="H36">
        <f t="shared" si="1"/>
        <v>11146.752962770001</v>
      </c>
      <c r="I36">
        <f t="shared" si="5"/>
        <v>827.15203956000187</v>
      </c>
      <c r="J36">
        <f t="shared" si="6"/>
        <v>55.850983999999997</v>
      </c>
      <c r="K36">
        <f t="shared" si="7"/>
        <v>55</v>
      </c>
      <c r="L36">
        <f t="shared" si="8"/>
        <v>202.66823568672729</v>
      </c>
      <c r="M36">
        <f t="shared" si="9"/>
        <v>371.55843209233336</v>
      </c>
      <c r="O36" s="6">
        <v>2024</v>
      </c>
      <c r="P36">
        <f t="shared" si="2"/>
        <v>3051.6681170025854</v>
      </c>
      <c r="Q36">
        <f t="shared" si="17"/>
        <v>226.45101362429841</v>
      </c>
      <c r="R36">
        <f t="shared" si="11"/>
        <v>10.484994977615006</v>
      </c>
      <c r="S36">
        <f t="shared" si="15"/>
        <v>10</v>
      </c>
      <c r="T36">
        <f t="shared" si="16"/>
        <v>305.16681170025856</v>
      </c>
      <c r="U36">
        <f t="shared" si="14"/>
        <v>101.72227056675284</v>
      </c>
    </row>
    <row r="37" spans="1:21" x14ac:dyDescent="0.3">
      <c r="A37">
        <v>2025</v>
      </c>
      <c r="B37">
        <v>4427.4170000000004</v>
      </c>
      <c r="C37">
        <v>144866.66666666701</v>
      </c>
      <c r="D37">
        <f t="shared" si="3"/>
        <v>30.562013345605081</v>
      </c>
      <c r="E37">
        <v>14721.333333333299</v>
      </c>
      <c r="F37">
        <f t="shared" si="4"/>
        <v>14721</v>
      </c>
      <c r="G37">
        <f t="shared" si="0"/>
        <v>305.84400000000005</v>
      </c>
      <c r="H37">
        <f t="shared" si="1"/>
        <v>11973.905002330001</v>
      </c>
      <c r="I37">
        <f t="shared" si="5"/>
        <v>827.15203956000005</v>
      </c>
      <c r="J37">
        <f t="shared" si="6"/>
        <v>58.059623999999992</v>
      </c>
      <c r="K37">
        <f t="shared" si="7"/>
        <v>58</v>
      </c>
      <c r="L37">
        <f t="shared" si="8"/>
        <v>206.44663797120691</v>
      </c>
      <c r="M37">
        <f t="shared" si="9"/>
        <v>399.13016674433334</v>
      </c>
      <c r="O37" s="6">
        <v>2025</v>
      </c>
      <c r="P37">
        <f t="shared" si="2"/>
        <v>3278.1191306268834</v>
      </c>
      <c r="Q37">
        <f t="shared" si="17"/>
        <v>226.45101362429796</v>
      </c>
      <c r="R37">
        <f t="shared" si="11"/>
        <v>10.899626514050597</v>
      </c>
      <c r="S37">
        <f t="shared" si="15"/>
        <v>10</v>
      </c>
      <c r="T37">
        <f t="shared" si="16"/>
        <v>327.81191306268835</v>
      </c>
      <c r="U37">
        <f t="shared" si="14"/>
        <v>109.27063768756278</v>
      </c>
    </row>
    <row r="38" spans="1:21" x14ac:dyDescent="0.3">
      <c r="A38">
        <v>2026</v>
      </c>
      <c r="B38">
        <v>4733.2610000000004</v>
      </c>
      <c r="C38">
        <v>154393.66666666701</v>
      </c>
      <c r="D38">
        <f t="shared" si="3"/>
        <v>30.657093015473365</v>
      </c>
      <c r="E38">
        <v>15280.833333333299</v>
      </c>
      <c r="F38">
        <f t="shared" si="4"/>
        <v>15280</v>
      </c>
      <c r="G38">
        <f t="shared" si="0"/>
        <v>305.84400000000005</v>
      </c>
      <c r="H38">
        <f t="shared" si="1"/>
        <v>12801.057041890001</v>
      </c>
      <c r="I38">
        <f t="shared" si="5"/>
        <v>827.15203956000005</v>
      </c>
      <c r="J38">
        <f>F38*0.3944/100</f>
        <v>60.264319999999998</v>
      </c>
      <c r="K38">
        <f t="shared" si="7"/>
        <v>60</v>
      </c>
      <c r="L38">
        <f t="shared" si="8"/>
        <v>213.35095069816668</v>
      </c>
      <c r="M38">
        <f t="shared" si="9"/>
        <v>426.70190139633337</v>
      </c>
      <c r="O38" s="6">
        <v>2026</v>
      </c>
      <c r="P38">
        <f t="shared" si="2"/>
        <v>3504.5701442511813</v>
      </c>
      <c r="Q38">
        <f t="shared" si="17"/>
        <v>226.45101362429796</v>
      </c>
      <c r="R38">
        <f t="shared" si="11"/>
        <v>11.313517637028268</v>
      </c>
      <c r="S38">
        <f t="shared" si="15"/>
        <v>11</v>
      </c>
      <c r="T38">
        <f t="shared" si="16"/>
        <v>318.59728584101646</v>
      </c>
      <c r="U38">
        <f t="shared" si="14"/>
        <v>116.81900480837271</v>
      </c>
    </row>
    <row r="39" spans="1:21" x14ac:dyDescent="0.3">
      <c r="A39">
        <v>2027</v>
      </c>
      <c r="B39">
        <v>5039.1049999999996</v>
      </c>
      <c r="C39">
        <v>163920.66666666701</v>
      </c>
      <c r="D39">
        <f>B39*1000/C39</f>
        <v>30.741120704731088</v>
      </c>
      <c r="E39">
        <v>15840.333333333299</v>
      </c>
      <c r="F39">
        <f t="shared" si="4"/>
        <v>15840</v>
      </c>
      <c r="G39">
        <f t="shared" si="0"/>
        <v>305.84399999999914</v>
      </c>
      <c r="H39">
        <f t="shared" si="1"/>
        <v>13628.209081449999</v>
      </c>
      <c r="I39">
        <f t="shared" si="5"/>
        <v>827.15203955999823</v>
      </c>
      <c r="J39">
        <f t="shared" si="6"/>
        <v>62.472959999999993</v>
      </c>
      <c r="K39">
        <f t="shared" si="7"/>
        <v>62</v>
      </c>
      <c r="L39">
        <f t="shared" si="8"/>
        <v>219.80982389435482</v>
      </c>
      <c r="M39">
        <f t="shared" si="9"/>
        <v>454.27363604833329</v>
      </c>
      <c r="O39" s="6">
        <v>2027</v>
      </c>
      <c r="P39">
        <f t="shared" si="2"/>
        <v>3731.0211578754788</v>
      </c>
      <c r="Q39">
        <f t="shared" si="17"/>
        <v>226.4510136242975</v>
      </c>
      <c r="R39">
        <f t="shared" si="11"/>
        <v>11.728149173463857</v>
      </c>
      <c r="S39">
        <f t="shared" si="15"/>
        <v>11</v>
      </c>
      <c r="T39">
        <f t="shared" si="16"/>
        <v>339.18374162504352</v>
      </c>
      <c r="U39">
        <f t="shared" si="14"/>
        <v>124.36737192918262</v>
      </c>
    </row>
    <row r="40" spans="1:21" x14ac:dyDescent="0.3">
      <c r="A40">
        <v>2028</v>
      </c>
      <c r="B40">
        <v>5344.9489999999996</v>
      </c>
      <c r="C40">
        <v>173447.66666666701</v>
      </c>
      <c r="D40">
        <f t="shared" si="3"/>
        <v>30.815917577444047</v>
      </c>
      <c r="E40">
        <v>16399.833333333299</v>
      </c>
      <c r="F40">
        <f t="shared" si="4"/>
        <v>16399</v>
      </c>
      <c r="G40">
        <f t="shared" si="0"/>
        <v>305.84400000000005</v>
      </c>
      <c r="H40">
        <f t="shared" si="1"/>
        <v>14455.361121009999</v>
      </c>
      <c r="I40">
        <f t="shared" si="5"/>
        <v>827.15203956000005</v>
      </c>
      <c r="J40">
        <f t="shared" si="6"/>
        <v>64.677655999999999</v>
      </c>
      <c r="K40">
        <f t="shared" si="7"/>
        <v>64</v>
      </c>
      <c r="L40">
        <f t="shared" si="8"/>
        <v>225.86501751578123</v>
      </c>
      <c r="M40">
        <f t="shared" si="9"/>
        <v>481.84537070033332</v>
      </c>
      <c r="O40" s="6">
        <v>2028</v>
      </c>
      <c r="P40">
        <f t="shared" si="2"/>
        <v>3957.4721714997768</v>
      </c>
      <c r="Q40">
        <f t="shared" si="17"/>
        <v>226.45101362429796</v>
      </c>
      <c r="R40">
        <f t="shared" si="11"/>
        <v>12.142040296441529</v>
      </c>
      <c r="S40">
        <f t="shared" si="15"/>
        <v>12</v>
      </c>
      <c r="T40">
        <f t="shared" si="16"/>
        <v>329.78934762498142</v>
      </c>
      <c r="U40">
        <f t="shared" si="14"/>
        <v>131.91573904999257</v>
      </c>
    </row>
    <row r="41" spans="1:21" x14ac:dyDescent="0.3">
      <c r="A41">
        <v>2029</v>
      </c>
      <c r="B41">
        <v>5650.7929999999997</v>
      </c>
      <c r="C41">
        <v>182974.66666666701</v>
      </c>
      <c r="D41">
        <f t="shared" si="3"/>
        <v>30.882925505170057</v>
      </c>
      <c r="E41">
        <v>16959.333333333299</v>
      </c>
      <c r="F41">
        <f t="shared" si="4"/>
        <v>16959</v>
      </c>
      <c r="G41">
        <f t="shared" si="0"/>
        <v>305.84400000000005</v>
      </c>
      <c r="H41">
        <f t="shared" si="1"/>
        <v>15282.513160569999</v>
      </c>
      <c r="I41">
        <f t="shared" si="5"/>
        <v>827.15203956000005</v>
      </c>
      <c r="J41">
        <f t="shared" si="6"/>
        <v>66.886295999999987</v>
      </c>
      <c r="K41">
        <f t="shared" si="7"/>
        <v>66</v>
      </c>
      <c r="L41">
        <f t="shared" si="8"/>
        <v>231.55322970560604</v>
      </c>
      <c r="M41">
        <f t="shared" si="9"/>
        <v>509.41710535233329</v>
      </c>
      <c r="O41" s="6">
        <v>2029</v>
      </c>
      <c r="P41">
        <f t="shared" si="2"/>
        <v>4183.9231851240747</v>
      </c>
      <c r="Q41">
        <f t="shared" si="17"/>
        <v>226.45101362429796</v>
      </c>
      <c r="R41">
        <f t="shared" si="11"/>
        <v>12.556671832877118</v>
      </c>
      <c r="S41">
        <f t="shared" si="15"/>
        <v>12</v>
      </c>
      <c r="T41">
        <f t="shared" si="16"/>
        <v>348.66026542700621</v>
      </c>
      <c r="U41">
        <f t="shared" si="14"/>
        <v>139.46410617080249</v>
      </c>
    </row>
    <row r="42" spans="1:21" x14ac:dyDescent="0.3">
      <c r="A42">
        <v>2030</v>
      </c>
      <c r="B42">
        <v>5956.6369999999997</v>
      </c>
      <c r="C42">
        <v>192501.66666666701</v>
      </c>
      <c r="D42">
        <f t="shared" si="3"/>
        <v>30.94330092380147</v>
      </c>
      <c r="E42">
        <v>17518.833333333299</v>
      </c>
      <c r="F42">
        <f t="shared" si="4"/>
        <v>17518</v>
      </c>
      <c r="G42">
        <f t="shared" si="0"/>
        <v>305.84400000000005</v>
      </c>
      <c r="H42">
        <f t="shared" si="1"/>
        <v>16109.665200129999</v>
      </c>
      <c r="I42">
        <f t="shared" si="5"/>
        <v>827.15203956000005</v>
      </c>
      <c r="J42">
        <f t="shared" si="6"/>
        <v>69.090992</v>
      </c>
      <c r="K42">
        <f t="shared" si="7"/>
        <v>69</v>
      </c>
      <c r="L42">
        <f t="shared" si="8"/>
        <v>233.47340869753623</v>
      </c>
      <c r="M42">
        <f t="shared" si="9"/>
        <v>536.98884000433327</v>
      </c>
      <c r="O42" s="6">
        <v>2030</v>
      </c>
      <c r="P42">
        <f t="shared" si="2"/>
        <v>4410.3741987483727</v>
      </c>
      <c r="Q42">
        <f t="shared" si="17"/>
        <v>226.45101362429796</v>
      </c>
      <c r="R42">
        <f t="shared" si="11"/>
        <v>12.970562955854788</v>
      </c>
      <c r="S42">
        <f t="shared" si="15"/>
        <v>12</v>
      </c>
      <c r="T42">
        <f t="shared" si="16"/>
        <v>367.53118322903106</v>
      </c>
      <c r="U42">
        <f t="shared" si="14"/>
        <v>147.01247329161242</v>
      </c>
    </row>
    <row r="43" spans="1:21" x14ac:dyDescent="0.3">
      <c r="A43">
        <v>2031</v>
      </c>
      <c r="B43">
        <v>6262.4809999999998</v>
      </c>
      <c r="C43">
        <v>202028.66666666701</v>
      </c>
      <c r="D43">
        <f t="shared" si="3"/>
        <v>30.997982134548511</v>
      </c>
      <c r="E43">
        <v>18078.333333333299</v>
      </c>
      <c r="F43">
        <f t="shared" si="4"/>
        <v>18078</v>
      </c>
      <c r="G43">
        <f>(B43-B42)</f>
        <v>305.84400000000005</v>
      </c>
      <c r="H43">
        <f t="shared" si="1"/>
        <v>16936.817239689997</v>
      </c>
      <c r="I43">
        <f t="shared" si="5"/>
        <v>827.15203955999823</v>
      </c>
      <c r="J43">
        <f t="shared" si="6"/>
        <v>71.299631999999988</v>
      </c>
      <c r="K43">
        <f t="shared" si="7"/>
        <v>71</v>
      </c>
      <c r="L43">
        <f t="shared" si="8"/>
        <v>238.5467216857746</v>
      </c>
      <c r="M43">
        <f t="shared" si="9"/>
        <v>564.56057465633319</v>
      </c>
      <c r="O43" s="6">
        <v>2031</v>
      </c>
      <c r="P43">
        <f t="shared" si="2"/>
        <v>4636.8252123726706</v>
      </c>
      <c r="Q43">
        <f t="shared" si="17"/>
        <v>226.45101362429796</v>
      </c>
      <c r="R43">
        <f t="shared" si="11"/>
        <v>13.385194492290379</v>
      </c>
      <c r="S43">
        <f t="shared" si="15"/>
        <v>13</v>
      </c>
      <c r="T43">
        <f t="shared" si="16"/>
        <v>356.67886249020546</v>
      </c>
      <c r="U43">
        <f t="shared" si="14"/>
        <v>154.56084041242235</v>
      </c>
    </row>
    <row r="44" spans="1:21" x14ac:dyDescent="0.3">
      <c r="A44">
        <v>2032</v>
      </c>
      <c r="B44">
        <v>6568.3249999999998</v>
      </c>
      <c r="C44">
        <v>211555.66666666701</v>
      </c>
      <c r="D44">
        <f t="shared" si="3"/>
        <v>31.0477384203054</v>
      </c>
      <c r="E44">
        <v>18637.833333333299</v>
      </c>
      <c r="F44">
        <f t="shared" si="4"/>
        <v>18637</v>
      </c>
      <c r="G44">
        <f t="shared" si="0"/>
        <v>305.84400000000005</v>
      </c>
      <c r="H44">
        <f t="shared" si="1"/>
        <v>17763.969279249999</v>
      </c>
      <c r="I44">
        <f t="shared" si="5"/>
        <v>827.15203956000187</v>
      </c>
      <c r="J44">
        <f t="shared" si="6"/>
        <v>73.504328000000001</v>
      </c>
      <c r="K44">
        <f t="shared" si="7"/>
        <v>73</v>
      </c>
      <c r="L44">
        <f t="shared" si="8"/>
        <v>243.34204492123285</v>
      </c>
      <c r="M44">
        <f t="shared" si="9"/>
        <v>592.13230930833333</v>
      </c>
      <c r="O44" s="6">
        <v>2032</v>
      </c>
      <c r="P44">
        <f t="shared" si="2"/>
        <v>4863.2762259969686</v>
      </c>
      <c r="Q44">
        <f t="shared" si="17"/>
        <v>226.45101362429796</v>
      </c>
      <c r="R44">
        <f t="shared" si="11"/>
        <v>13.79908561526805</v>
      </c>
      <c r="S44">
        <f t="shared" si="15"/>
        <v>13</v>
      </c>
      <c r="T44">
        <f t="shared" si="16"/>
        <v>374.09817123053602</v>
      </c>
      <c r="U44">
        <f t="shared" si="14"/>
        <v>162.10920753323228</v>
      </c>
    </row>
    <row r="45" spans="1:21" x14ac:dyDescent="0.3">
      <c r="A45">
        <v>2033</v>
      </c>
      <c r="B45">
        <v>6874.1689999999999</v>
      </c>
      <c r="C45">
        <v>221082.66666666701</v>
      </c>
      <c r="D45">
        <f t="shared" si="3"/>
        <v>31.093206462740888</v>
      </c>
      <c r="E45">
        <v>19197.333333333299</v>
      </c>
      <c r="F45">
        <f t="shared" si="4"/>
        <v>19197</v>
      </c>
      <c r="G45">
        <f t="shared" si="0"/>
        <v>305.84400000000005</v>
      </c>
      <c r="H45">
        <f t="shared" si="1"/>
        <v>18591.121318809997</v>
      </c>
      <c r="I45">
        <f t="shared" si="5"/>
        <v>827.15203955999823</v>
      </c>
      <c r="J45">
        <f t="shared" si="6"/>
        <v>75.712967999999989</v>
      </c>
      <c r="K45">
        <f t="shared" si="7"/>
        <v>75</v>
      </c>
      <c r="L45">
        <f t="shared" si="8"/>
        <v>247.88161758413329</v>
      </c>
      <c r="M45">
        <f t="shared" si="9"/>
        <v>619.70404396033325</v>
      </c>
      <c r="O45" s="6">
        <v>2033</v>
      </c>
      <c r="P45">
        <f t="shared" si="2"/>
        <v>5089.7272396212666</v>
      </c>
      <c r="Q45">
        <f t="shared" si="17"/>
        <v>226.45101362429796</v>
      </c>
      <c r="R45">
        <f t="shared" si="11"/>
        <v>14.213717151703641</v>
      </c>
      <c r="S45">
        <f t="shared" si="15"/>
        <v>14</v>
      </c>
      <c r="T45">
        <f t="shared" si="16"/>
        <v>363.55194568723334</v>
      </c>
      <c r="U45">
        <f t="shared" si="14"/>
        <v>169.65757465404221</v>
      </c>
    </row>
    <row r="46" spans="1:21" x14ac:dyDescent="0.3">
      <c r="A46">
        <v>2034</v>
      </c>
      <c r="B46">
        <v>7180.0129999999999</v>
      </c>
      <c r="C46">
        <v>230609.66666666701</v>
      </c>
      <c r="D46">
        <f t="shared" si="3"/>
        <v>31.134917732561036</v>
      </c>
      <c r="E46">
        <v>19756.833333333299</v>
      </c>
      <c r="F46">
        <f t="shared" si="4"/>
        <v>19756</v>
      </c>
      <c r="G46">
        <f t="shared" si="0"/>
        <v>305.84400000000005</v>
      </c>
      <c r="H46">
        <f t="shared" si="1"/>
        <v>19418.273358369999</v>
      </c>
      <c r="I46">
        <f t="shared" si="5"/>
        <v>827.15203956000187</v>
      </c>
      <c r="J46">
        <f t="shared" si="6"/>
        <v>77.917664000000002</v>
      </c>
      <c r="K46">
        <f t="shared" si="7"/>
        <v>77</v>
      </c>
      <c r="L46">
        <f t="shared" si="8"/>
        <v>252.18536829051948</v>
      </c>
      <c r="M46">
        <f t="shared" si="9"/>
        <v>647.27577861233328</v>
      </c>
      <c r="O46" s="6">
        <v>2034</v>
      </c>
      <c r="P46">
        <f t="shared" si="2"/>
        <v>5316.1782532455645</v>
      </c>
      <c r="Q46">
        <f t="shared" si="17"/>
        <v>226.45101362429796</v>
      </c>
      <c r="R46">
        <f t="shared" si="11"/>
        <v>14.627608274681311</v>
      </c>
      <c r="S46">
        <f t="shared" si="15"/>
        <v>14</v>
      </c>
      <c r="T46">
        <f t="shared" si="16"/>
        <v>379.72701808896892</v>
      </c>
      <c r="U46">
        <f t="shared" si="14"/>
        <v>177.20594177485216</v>
      </c>
    </row>
    <row r="47" spans="1:21" x14ac:dyDescent="0.3">
      <c r="A47" s="5">
        <v>2035</v>
      </c>
      <c r="B47" s="5">
        <v>7485.857</v>
      </c>
      <c r="C47" s="5">
        <v>240136.66666666701</v>
      </c>
      <c r="D47" s="5">
        <f t="shared" si="3"/>
        <v>31.173319359808954</v>
      </c>
      <c r="E47" s="5">
        <v>20316.333333333299</v>
      </c>
      <c r="F47" s="5">
        <f t="shared" si="4"/>
        <v>20316</v>
      </c>
      <c r="G47" s="5">
        <f t="shared" si="0"/>
        <v>305.84400000000005</v>
      </c>
      <c r="H47">
        <f t="shared" si="1"/>
        <v>20245.425397929997</v>
      </c>
      <c r="I47" s="5">
        <f t="shared" si="5"/>
        <v>827.15203955999823</v>
      </c>
      <c r="J47" s="5">
        <f t="shared" si="6"/>
        <v>80.12630399999999</v>
      </c>
      <c r="K47" s="5">
        <f t="shared" si="7"/>
        <v>80</v>
      </c>
      <c r="L47">
        <f t="shared" si="8"/>
        <v>253.06781747412498</v>
      </c>
      <c r="M47">
        <f t="shared" si="9"/>
        <v>674.8475132643332</v>
      </c>
      <c r="O47" s="7">
        <v>2035</v>
      </c>
      <c r="P47">
        <f t="shared" si="2"/>
        <v>5542.6292668698625</v>
      </c>
      <c r="Q47" s="5">
        <f t="shared" si="17"/>
        <v>226.45101362429796</v>
      </c>
      <c r="R47">
        <f t="shared" si="11"/>
        <v>15.042239811116902</v>
      </c>
      <c r="S47" s="5">
        <f t="shared" si="15"/>
        <v>15</v>
      </c>
      <c r="T47">
        <f t="shared" si="16"/>
        <v>369.50861779132418</v>
      </c>
      <c r="U47">
        <f t="shared" si="14"/>
        <v>184.75430889566209</v>
      </c>
    </row>
    <row r="48" spans="1:21" x14ac:dyDescent="0.3">
      <c r="A48">
        <v>2036</v>
      </c>
      <c r="B48">
        <v>7791.701</v>
      </c>
    </row>
    <row r="49" spans="1:2" x14ac:dyDescent="0.3">
      <c r="A49">
        <v>2037</v>
      </c>
      <c r="B49">
        <v>8097.5450000000001</v>
      </c>
    </row>
    <row r="50" spans="1:2" x14ac:dyDescent="0.3">
      <c r="A50">
        <v>2038</v>
      </c>
      <c r="B50">
        <v>8403.3889999999992</v>
      </c>
    </row>
    <row r="51" spans="1:2" x14ac:dyDescent="0.3">
      <c r="A51">
        <v>2039</v>
      </c>
      <c r="B51">
        <v>8709.2330000000002</v>
      </c>
    </row>
    <row r="52" spans="1:2" x14ac:dyDescent="0.3">
      <c r="A52">
        <v>2040</v>
      </c>
      <c r="B52">
        <v>9015.0769999999993</v>
      </c>
    </row>
    <row r="53" spans="1:2" x14ac:dyDescent="0.3">
      <c r="A53">
        <v>2041</v>
      </c>
      <c r="B53">
        <v>9320.9210000000003</v>
      </c>
    </row>
    <row r="54" spans="1:2" x14ac:dyDescent="0.3">
      <c r="A54">
        <v>2042</v>
      </c>
      <c r="B54">
        <v>9626.7649999999994</v>
      </c>
    </row>
    <row r="55" spans="1:2" x14ac:dyDescent="0.3">
      <c r="A55">
        <v>2043</v>
      </c>
      <c r="B55">
        <v>9932.6090000000004</v>
      </c>
    </row>
    <row r="56" spans="1:2" x14ac:dyDescent="0.3">
      <c r="A56">
        <v>2044</v>
      </c>
      <c r="B56">
        <v>10238.453</v>
      </c>
    </row>
    <row r="57" spans="1:2" x14ac:dyDescent="0.3">
      <c r="A57">
        <v>2045</v>
      </c>
      <c r="B57">
        <v>10544.297</v>
      </c>
    </row>
    <row r="58" spans="1:2" x14ac:dyDescent="0.3">
      <c r="A58">
        <v>2046</v>
      </c>
      <c r="B58">
        <v>10850.141</v>
      </c>
    </row>
    <row r="59" spans="1:2" x14ac:dyDescent="0.3">
      <c r="A59">
        <v>2047</v>
      </c>
      <c r="B59">
        <v>11155.985000000001</v>
      </c>
    </row>
    <row r="60" spans="1:2" x14ac:dyDescent="0.3">
      <c r="A60">
        <v>2048</v>
      </c>
      <c r="B60">
        <v>11461.829</v>
      </c>
    </row>
    <row r="61" spans="1:2" x14ac:dyDescent="0.3">
      <c r="A61">
        <v>2049</v>
      </c>
      <c r="B61">
        <v>11767.673000000001</v>
      </c>
    </row>
    <row r="62" spans="1:2" x14ac:dyDescent="0.3">
      <c r="A62">
        <v>2050</v>
      </c>
      <c r="B62">
        <v>12073.517</v>
      </c>
    </row>
  </sheetData>
  <mergeCells count="4">
    <mergeCell ref="E23:G23"/>
    <mergeCell ref="H23:K23"/>
    <mergeCell ref="P23:S23"/>
    <mergeCell ref="P20:S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D439-D708-451A-A876-38ECFE8DF1CD}">
  <dimension ref="A1:J44"/>
  <sheetViews>
    <sheetView workbookViewId="0">
      <selection activeCell="L32" sqref="L32"/>
    </sheetView>
  </sheetViews>
  <sheetFormatPr defaultRowHeight="14.4" x14ac:dyDescent="0.3"/>
  <sheetData>
    <row r="1" spans="1:10" x14ac:dyDescent="0.3">
      <c r="A1" t="s">
        <v>38</v>
      </c>
    </row>
    <row r="3" spans="1:10" x14ac:dyDescent="0.3">
      <c r="B3" s="16" t="s">
        <v>41</v>
      </c>
      <c r="D3" s="9" t="s">
        <v>34</v>
      </c>
      <c r="E3" s="9"/>
      <c r="F3" s="9"/>
      <c r="G3" s="10" t="s">
        <v>35</v>
      </c>
      <c r="H3" s="10"/>
      <c r="I3" s="10"/>
    </row>
    <row r="4" spans="1:10" x14ac:dyDescent="0.3">
      <c r="B4" s="16"/>
      <c r="D4" t="s">
        <v>36</v>
      </c>
      <c r="E4" t="s">
        <v>37</v>
      </c>
      <c r="F4" t="s">
        <v>32</v>
      </c>
      <c r="G4" t="s">
        <v>36</v>
      </c>
      <c r="H4" t="s">
        <v>37</v>
      </c>
      <c r="I4" t="s">
        <v>32</v>
      </c>
    </row>
    <row r="5" spans="1:10" x14ac:dyDescent="0.3">
      <c r="B5" s="16"/>
      <c r="C5" t="s">
        <v>26</v>
      </c>
      <c r="D5">
        <v>960</v>
      </c>
      <c r="E5">
        <v>2610</v>
      </c>
      <c r="F5">
        <f>E5/D5</f>
        <v>2.71875</v>
      </c>
      <c r="G5">
        <f>INT(D5*0.270449/100)</f>
        <v>2</v>
      </c>
      <c r="H5">
        <f>INT(E5*0.270449/100)</f>
        <v>7</v>
      </c>
      <c r="I5">
        <f>H5/G5</f>
        <v>3.5</v>
      </c>
    </row>
    <row r="6" spans="1:10" x14ac:dyDescent="0.3">
      <c r="B6" s="16"/>
      <c r="C6" s="1" t="s">
        <v>31</v>
      </c>
      <c r="D6">
        <v>5895</v>
      </c>
      <c r="E6">
        <v>54884</v>
      </c>
      <c r="F6">
        <f t="shared" ref="F6:F10" si="0">E6/D6</f>
        <v>9.3102629346904155</v>
      </c>
      <c r="G6">
        <f t="shared" ref="G6:G11" si="1">INT(D6*0.270449/100)</f>
        <v>15</v>
      </c>
      <c r="H6">
        <f t="shared" ref="H6:H11" si="2">INT(E6*0.270449/100)</f>
        <v>148</v>
      </c>
      <c r="I6">
        <f t="shared" ref="I6:I10" si="3">H6/G6</f>
        <v>9.8666666666666671</v>
      </c>
    </row>
    <row r="7" spans="1:10" x14ac:dyDescent="0.3">
      <c r="B7" s="16"/>
      <c r="C7" t="s">
        <v>27</v>
      </c>
      <c r="D7">
        <v>1318</v>
      </c>
      <c r="E7">
        <v>37822</v>
      </c>
      <c r="F7">
        <f t="shared" si="0"/>
        <v>28.696509863429437</v>
      </c>
      <c r="G7">
        <f t="shared" si="1"/>
        <v>3</v>
      </c>
      <c r="H7">
        <f t="shared" si="2"/>
        <v>102</v>
      </c>
      <c r="I7">
        <f t="shared" si="3"/>
        <v>34</v>
      </c>
    </row>
    <row r="8" spans="1:10" x14ac:dyDescent="0.3">
      <c r="B8" s="16"/>
      <c r="C8" t="s">
        <v>28</v>
      </c>
      <c r="D8">
        <v>290</v>
      </c>
      <c r="E8">
        <v>20195</v>
      </c>
      <c r="F8">
        <f t="shared" si="0"/>
        <v>69.637931034482762</v>
      </c>
      <c r="G8">
        <f t="shared" si="1"/>
        <v>0</v>
      </c>
      <c r="H8">
        <f t="shared" si="2"/>
        <v>54</v>
      </c>
      <c r="I8" t="e">
        <f t="shared" si="3"/>
        <v>#DIV/0!</v>
      </c>
    </row>
    <row r="9" spans="1:10" x14ac:dyDescent="0.3">
      <c r="B9" s="16"/>
      <c r="C9" t="s">
        <v>29</v>
      </c>
      <c r="D9">
        <v>445</v>
      </c>
      <c r="E9">
        <v>147789</v>
      </c>
      <c r="F9">
        <f t="shared" si="0"/>
        <v>332.11011235955056</v>
      </c>
      <c r="G9">
        <f t="shared" si="1"/>
        <v>1</v>
      </c>
      <c r="H9">
        <f t="shared" si="2"/>
        <v>399</v>
      </c>
      <c r="I9">
        <f t="shared" si="3"/>
        <v>399</v>
      </c>
    </row>
    <row r="10" spans="1:10" x14ac:dyDescent="0.3">
      <c r="B10" s="16"/>
      <c r="C10" t="s">
        <v>30</v>
      </c>
      <c r="D10">
        <v>392</v>
      </c>
      <c r="E10">
        <v>6700</v>
      </c>
      <c r="F10">
        <f t="shared" si="0"/>
        <v>17.091836734693878</v>
      </c>
      <c r="G10">
        <f t="shared" si="1"/>
        <v>1</v>
      </c>
      <c r="H10">
        <f t="shared" si="2"/>
        <v>18</v>
      </c>
      <c r="I10">
        <f t="shared" si="3"/>
        <v>18</v>
      </c>
    </row>
    <row r="11" spans="1:10" x14ac:dyDescent="0.3">
      <c r="B11" s="16"/>
      <c r="C11" s="8" t="s">
        <v>15</v>
      </c>
      <c r="D11" s="8">
        <f>SUM(D5:D10)</f>
        <v>9300</v>
      </c>
      <c r="E11" s="8">
        <f>SUM(E5:E10)</f>
        <v>270000</v>
      </c>
      <c r="F11" s="8">
        <f>E11/D11</f>
        <v>29.032258064516128</v>
      </c>
      <c r="G11" s="8">
        <f t="shared" si="1"/>
        <v>25</v>
      </c>
      <c r="H11" s="8">
        <f t="shared" si="2"/>
        <v>730</v>
      </c>
      <c r="I11" s="8">
        <f>H11/G11</f>
        <v>29.2</v>
      </c>
    </row>
    <row r="12" spans="1:10" x14ac:dyDescent="0.3">
      <c r="G12" s="2">
        <f>G11-G10-G9</f>
        <v>23</v>
      </c>
      <c r="H12" s="2">
        <f>H11-H10-H9</f>
        <v>313</v>
      </c>
      <c r="I12" s="2">
        <f>H12/G12</f>
        <v>13.608695652173912</v>
      </c>
      <c r="J12" t="s">
        <v>44</v>
      </c>
    </row>
    <row r="13" spans="1:10" x14ac:dyDescent="0.3">
      <c r="B13" s="17">
        <v>2015</v>
      </c>
      <c r="D13" s="9" t="s">
        <v>34</v>
      </c>
      <c r="E13" s="9"/>
      <c r="F13" s="9"/>
      <c r="G13" s="10" t="s">
        <v>35</v>
      </c>
      <c r="H13" s="10"/>
      <c r="I13" s="10"/>
    </row>
    <row r="14" spans="1:10" x14ac:dyDescent="0.3">
      <c r="B14" s="17"/>
      <c r="D14" t="s">
        <v>36</v>
      </c>
      <c r="E14" t="s">
        <v>37</v>
      </c>
      <c r="F14" t="s">
        <v>32</v>
      </c>
      <c r="G14" t="s">
        <v>36</v>
      </c>
      <c r="H14" t="s">
        <v>37</v>
      </c>
      <c r="I14" t="s">
        <v>32</v>
      </c>
    </row>
    <row r="15" spans="1:10" x14ac:dyDescent="0.3">
      <c r="B15" s="17"/>
      <c r="C15" t="s">
        <v>26</v>
      </c>
      <c r="D15">
        <v>931</v>
      </c>
      <c r="E15">
        <v>2600</v>
      </c>
      <c r="F15">
        <f>E15/D15</f>
        <v>2.7926960257787323</v>
      </c>
      <c r="G15">
        <f>INT(D15*0.270449/100)</f>
        <v>2</v>
      </c>
      <c r="H15">
        <f>INT(E15*0.270449/100)</f>
        <v>7</v>
      </c>
      <c r="I15">
        <f>H15/G15</f>
        <v>3.5</v>
      </c>
    </row>
    <row r="16" spans="1:10" x14ac:dyDescent="0.3">
      <c r="B16" s="17"/>
      <c r="C16" s="1" t="s">
        <v>31</v>
      </c>
      <c r="D16">
        <v>5673</v>
      </c>
      <c r="E16">
        <v>50500</v>
      </c>
      <c r="F16">
        <f t="shared" ref="F16:F21" si="4">E16/D16</f>
        <v>8.9018156178388868</v>
      </c>
      <c r="G16">
        <f t="shared" ref="G16:G22" si="5">INT(D16*0.270449/100)</f>
        <v>15</v>
      </c>
      <c r="H16">
        <f t="shared" ref="H16:H22" si="6">INT(E16*0.270449/100)</f>
        <v>136</v>
      </c>
      <c r="I16">
        <f t="shared" ref="I16:I21" si="7">H16/G16</f>
        <v>9.0666666666666664</v>
      </c>
    </row>
    <row r="17" spans="1:10" x14ac:dyDescent="0.3">
      <c r="B17" s="17"/>
      <c r="C17" t="s">
        <v>42</v>
      </c>
      <c r="D17">
        <v>1315</v>
      </c>
      <c r="E17">
        <v>33000</v>
      </c>
      <c r="F17">
        <f t="shared" si="4"/>
        <v>25.095057034220531</v>
      </c>
      <c r="G17">
        <f t="shared" si="5"/>
        <v>3</v>
      </c>
      <c r="H17">
        <f t="shared" si="6"/>
        <v>89</v>
      </c>
      <c r="I17">
        <f t="shared" si="7"/>
        <v>29.666666666666668</v>
      </c>
    </row>
    <row r="18" spans="1:10" x14ac:dyDescent="0.3">
      <c r="B18" s="17"/>
      <c r="C18" t="s">
        <v>43</v>
      </c>
      <c r="D18">
        <v>369</v>
      </c>
      <c r="E18">
        <v>12300</v>
      </c>
      <c r="F18">
        <f t="shared" si="4"/>
        <v>33.333333333333336</v>
      </c>
      <c r="G18">
        <f t="shared" si="5"/>
        <v>0</v>
      </c>
      <c r="H18">
        <f t="shared" si="6"/>
        <v>33</v>
      </c>
      <c r="I18" t="e">
        <f t="shared" si="7"/>
        <v>#DIV/0!</v>
      </c>
    </row>
    <row r="19" spans="1:10" x14ac:dyDescent="0.3">
      <c r="B19" s="17"/>
      <c r="C19" t="s">
        <v>28</v>
      </c>
      <c r="D19">
        <v>921</v>
      </c>
      <c r="E19">
        <v>36400</v>
      </c>
      <c r="F19">
        <f t="shared" si="4"/>
        <v>39.522258414766561</v>
      </c>
      <c r="G19">
        <f t="shared" si="5"/>
        <v>2</v>
      </c>
      <c r="H19">
        <f t="shared" si="6"/>
        <v>98</v>
      </c>
      <c r="I19">
        <f t="shared" si="7"/>
        <v>49</v>
      </c>
    </row>
    <row r="20" spans="1:10" x14ac:dyDescent="0.3">
      <c r="B20" s="17"/>
      <c r="C20" t="s">
        <v>39</v>
      </c>
      <c r="D20">
        <v>672</v>
      </c>
      <c r="E20">
        <v>164300</v>
      </c>
      <c r="F20">
        <f t="shared" si="4"/>
        <v>244.49404761904762</v>
      </c>
      <c r="G20">
        <f t="shared" si="5"/>
        <v>1</v>
      </c>
      <c r="H20">
        <f t="shared" si="6"/>
        <v>444</v>
      </c>
      <c r="I20">
        <f t="shared" si="7"/>
        <v>444</v>
      </c>
    </row>
    <row r="21" spans="1:10" x14ac:dyDescent="0.3">
      <c r="B21" s="17"/>
      <c r="C21" t="s">
        <v>40</v>
      </c>
      <c r="D21">
        <v>17</v>
      </c>
      <c r="E21">
        <v>33900</v>
      </c>
      <c r="F21">
        <f t="shared" si="4"/>
        <v>1994.1176470588234</v>
      </c>
      <c r="G21">
        <f t="shared" si="5"/>
        <v>0</v>
      </c>
      <c r="H21">
        <f t="shared" si="6"/>
        <v>91</v>
      </c>
      <c r="I21" t="e">
        <f t="shared" si="7"/>
        <v>#DIV/0!</v>
      </c>
    </row>
    <row r="22" spans="1:10" x14ac:dyDescent="0.3">
      <c r="B22" s="17"/>
      <c r="D22">
        <f>SUM(D15:D21)</f>
        <v>9898</v>
      </c>
      <c r="E22">
        <f>SUM(E15:E21)</f>
        <v>333000</v>
      </c>
      <c r="F22">
        <f>E22/D22</f>
        <v>33.643160234390784</v>
      </c>
      <c r="G22">
        <f t="shared" si="5"/>
        <v>26</v>
      </c>
      <c r="H22">
        <f t="shared" si="6"/>
        <v>900</v>
      </c>
      <c r="I22">
        <f>H22/G22</f>
        <v>34.615384615384613</v>
      </c>
    </row>
    <row r="23" spans="1:10" x14ac:dyDescent="0.3">
      <c r="G23" s="2">
        <f>G22-G21-G20</f>
        <v>25</v>
      </c>
      <c r="H23" s="2">
        <f>H22-H21-H20</f>
        <v>365</v>
      </c>
      <c r="I23" s="2">
        <f>H23/G23</f>
        <v>14.6</v>
      </c>
      <c r="J23" t="s">
        <v>44</v>
      </c>
    </row>
    <row r="24" spans="1:10" ht="15" thickBot="1" x14ac:dyDescent="0.35">
      <c r="G24" s="2"/>
      <c r="H24" s="2"/>
      <c r="I24" s="2"/>
    </row>
    <row r="25" spans="1:10" ht="15.6" thickTop="1" thickBot="1" x14ac:dyDescent="0.35">
      <c r="A25" s="13" t="s">
        <v>45</v>
      </c>
      <c r="B25" s="14">
        <v>2014</v>
      </c>
      <c r="C25" s="3"/>
      <c r="D25" s="15" t="s">
        <v>34</v>
      </c>
      <c r="E25" s="15"/>
      <c r="F25" s="15"/>
      <c r="G25" s="15" t="s">
        <v>35</v>
      </c>
      <c r="H25" s="15"/>
      <c r="I25" s="15"/>
    </row>
    <row r="26" spans="1:10" ht="15.6" thickTop="1" thickBot="1" x14ac:dyDescent="0.35">
      <c r="A26" s="13"/>
      <c r="B26" s="14"/>
      <c r="C26" s="3"/>
      <c r="D26" s="3" t="s">
        <v>36</v>
      </c>
      <c r="E26" s="3" t="s">
        <v>37</v>
      </c>
      <c r="F26" s="3" t="s">
        <v>32</v>
      </c>
      <c r="G26" s="3" t="s">
        <v>36</v>
      </c>
      <c r="H26" s="3" t="s">
        <v>37</v>
      </c>
      <c r="I26" s="3" t="s">
        <v>32</v>
      </c>
    </row>
    <row r="27" spans="1:10" ht="15.6" thickTop="1" thickBot="1" x14ac:dyDescent="0.35">
      <c r="A27" s="13"/>
      <c r="B27" s="14"/>
      <c r="C27" s="3" t="s">
        <v>26</v>
      </c>
      <c r="D27" s="3">
        <v>960</v>
      </c>
      <c r="E27" s="3">
        <v>2610</v>
      </c>
      <c r="F27" s="3">
        <f>E27/D27</f>
        <v>2.71875</v>
      </c>
      <c r="G27">
        <f t="shared" ref="G27:G33" si="8">INT(D27*0.270449/100)</f>
        <v>2</v>
      </c>
      <c r="H27">
        <f>INT(E27*0.270449/100)</f>
        <v>7</v>
      </c>
      <c r="I27" s="3">
        <f>H27/G27</f>
        <v>3.5</v>
      </c>
    </row>
    <row r="28" spans="1:10" ht="15.6" thickTop="1" thickBot="1" x14ac:dyDescent="0.35">
      <c r="A28" s="13"/>
      <c r="B28" s="14"/>
      <c r="C28" s="4" t="s">
        <v>31</v>
      </c>
      <c r="D28" s="3">
        <v>5895</v>
      </c>
      <c r="E28" s="3">
        <v>54884</v>
      </c>
      <c r="F28" s="3">
        <f t="shared" ref="F28:F32" si="9">E28/D28</f>
        <v>9.3102629346904155</v>
      </c>
      <c r="G28">
        <f t="shared" si="8"/>
        <v>15</v>
      </c>
      <c r="H28">
        <f t="shared" ref="H28:H33" si="10">INT(E28*0.270449/100)</f>
        <v>148</v>
      </c>
      <c r="I28" s="3">
        <f t="shared" ref="I28:I32" si="11">H28/G28</f>
        <v>9.8666666666666671</v>
      </c>
    </row>
    <row r="29" spans="1:10" ht="15.6" thickTop="1" thickBot="1" x14ac:dyDescent="0.35">
      <c r="A29" s="13"/>
      <c r="B29" s="14"/>
      <c r="C29" s="3" t="s">
        <v>27</v>
      </c>
      <c r="D29" s="3">
        <v>1318</v>
      </c>
      <c r="E29" s="3">
        <v>37822</v>
      </c>
      <c r="F29" s="3">
        <f t="shared" si="9"/>
        <v>28.696509863429437</v>
      </c>
      <c r="G29">
        <f t="shared" si="8"/>
        <v>3</v>
      </c>
      <c r="H29">
        <f t="shared" si="10"/>
        <v>102</v>
      </c>
      <c r="I29" s="3">
        <f t="shared" si="11"/>
        <v>34</v>
      </c>
    </row>
    <row r="30" spans="1:10" ht="15.6" thickTop="1" thickBot="1" x14ac:dyDescent="0.35">
      <c r="B30" s="14"/>
      <c r="C30" s="3" t="s">
        <v>28</v>
      </c>
      <c r="D30" s="3">
        <v>290</v>
      </c>
      <c r="E30" s="3"/>
      <c r="F30" s="3">
        <f t="shared" si="9"/>
        <v>0</v>
      </c>
      <c r="G30">
        <f t="shared" si="8"/>
        <v>0</v>
      </c>
      <c r="H30">
        <f t="shared" si="10"/>
        <v>0</v>
      </c>
      <c r="I30" s="3" t="e">
        <f t="shared" si="11"/>
        <v>#DIV/0!</v>
      </c>
    </row>
    <row r="31" spans="1:10" ht="15.6" thickTop="1" thickBot="1" x14ac:dyDescent="0.35">
      <c r="B31" s="14"/>
      <c r="C31" s="3" t="s">
        <v>29</v>
      </c>
      <c r="D31" s="3">
        <v>445</v>
      </c>
      <c r="E31" s="3">
        <v>147789</v>
      </c>
      <c r="F31" s="3">
        <f t="shared" si="9"/>
        <v>332.11011235955056</v>
      </c>
      <c r="G31">
        <f t="shared" si="8"/>
        <v>1</v>
      </c>
      <c r="H31">
        <f t="shared" si="10"/>
        <v>399</v>
      </c>
      <c r="I31" s="3">
        <f t="shared" si="11"/>
        <v>399</v>
      </c>
    </row>
    <row r="32" spans="1:10" ht="15.6" thickTop="1" thickBot="1" x14ac:dyDescent="0.35">
      <c r="B32" s="14"/>
      <c r="C32" s="3" t="s">
        <v>30</v>
      </c>
      <c r="D32" s="3">
        <v>392</v>
      </c>
      <c r="E32" s="3">
        <v>6700</v>
      </c>
      <c r="F32" s="3">
        <f t="shared" si="9"/>
        <v>17.091836734693878</v>
      </c>
      <c r="G32">
        <f t="shared" si="8"/>
        <v>1</v>
      </c>
      <c r="H32">
        <f t="shared" si="10"/>
        <v>18</v>
      </c>
      <c r="I32" s="3">
        <f t="shared" si="11"/>
        <v>18</v>
      </c>
    </row>
    <row r="33" spans="2:9" ht="15.6" thickTop="1" thickBot="1" x14ac:dyDescent="0.35">
      <c r="B33" s="14"/>
      <c r="C33" s="3"/>
      <c r="D33" s="3">
        <f>SUM(D27:D32)</f>
        <v>9300</v>
      </c>
      <c r="E33" s="3">
        <f>SUM(E27:E32)</f>
        <v>249805</v>
      </c>
      <c r="F33" s="3">
        <f>E33/D33</f>
        <v>26.860752688172042</v>
      </c>
      <c r="G33">
        <f t="shared" si="8"/>
        <v>25</v>
      </c>
      <c r="H33">
        <f t="shared" si="10"/>
        <v>675</v>
      </c>
      <c r="I33" s="3">
        <f>H33/G33</f>
        <v>27</v>
      </c>
    </row>
    <row r="34" spans="2:9" ht="15.6" thickTop="1" thickBot="1" x14ac:dyDescent="0.35">
      <c r="B34" s="3"/>
      <c r="C34" s="3"/>
      <c r="D34" s="3"/>
      <c r="E34" s="3"/>
      <c r="F34" s="3"/>
      <c r="G34" s="3"/>
      <c r="H34" s="3"/>
      <c r="I34" s="3"/>
    </row>
    <row r="35" spans="2:9" ht="15.6" thickTop="1" thickBot="1" x14ac:dyDescent="0.35">
      <c r="B35" s="14">
        <v>2013</v>
      </c>
      <c r="C35" s="3"/>
      <c r="D35" s="15" t="s">
        <v>34</v>
      </c>
      <c r="E35" s="15"/>
      <c r="F35" s="15"/>
      <c r="G35" s="15" t="s">
        <v>35</v>
      </c>
      <c r="H35" s="15"/>
      <c r="I35" s="15"/>
    </row>
    <row r="36" spans="2:9" ht="15.6" thickTop="1" thickBot="1" x14ac:dyDescent="0.35">
      <c r="B36" s="14"/>
      <c r="C36" s="3"/>
      <c r="D36" s="3" t="s">
        <v>36</v>
      </c>
      <c r="E36" s="3" t="s">
        <v>37</v>
      </c>
      <c r="F36" s="3" t="s">
        <v>32</v>
      </c>
      <c r="G36" s="3" t="s">
        <v>36</v>
      </c>
      <c r="H36" s="3" t="s">
        <v>37</v>
      </c>
      <c r="I36" s="3" t="s">
        <v>32</v>
      </c>
    </row>
    <row r="37" spans="2:9" ht="15.6" thickTop="1" thickBot="1" x14ac:dyDescent="0.35">
      <c r="B37" s="14"/>
      <c r="C37" s="3" t="s">
        <v>26</v>
      </c>
      <c r="D37" s="3">
        <v>960</v>
      </c>
      <c r="E37" s="3">
        <v>2610</v>
      </c>
      <c r="F37" s="3">
        <f>E37/D37</f>
        <v>2.71875</v>
      </c>
      <c r="G37">
        <f t="shared" ref="G37:G43" si="12">INT(D37*0.270449/100)</f>
        <v>2</v>
      </c>
      <c r="H37">
        <f>INT(E37*0.270449/100)</f>
        <v>7</v>
      </c>
      <c r="I37" s="3">
        <f>H37/G37</f>
        <v>3.5</v>
      </c>
    </row>
    <row r="38" spans="2:9" ht="15.6" thickTop="1" thickBot="1" x14ac:dyDescent="0.35">
      <c r="B38" s="14"/>
      <c r="C38" s="4" t="s">
        <v>31</v>
      </c>
      <c r="D38" s="3">
        <v>5895</v>
      </c>
      <c r="E38" s="3">
        <v>54884</v>
      </c>
      <c r="F38" s="3">
        <f t="shared" ref="F38:F42" si="13">E38/D38</f>
        <v>9.3102629346904155</v>
      </c>
      <c r="G38">
        <f t="shared" si="12"/>
        <v>15</v>
      </c>
      <c r="H38">
        <f t="shared" ref="H38:H43" si="14">INT(E38*0.270449/100)</f>
        <v>148</v>
      </c>
      <c r="I38" s="3">
        <f t="shared" ref="I38:I42" si="15">H38/G38</f>
        <v>9.8666666666666671</v>
      </c>
    </row>
    <row r="39" spans="2:9" ht="15.6" thickTop="1" thickBot="1" x14ac:dyDescent="0.35">
      <c r="B39" s="14"/>
      <c r="C39" s="3" t="s">
        <v>27</v>
      </c>
      <c r="D39" s="3">
        <v>1318</v>
      </c>
      <c r="E39" s="3">
        <v>37822</v>
      </c>
      <c r="F39" s="3">
        <f t="shared" si="13"/>
        <v>28.696509863429437</v>
      </c>
      <c r="G39">
        <f t="shared" si="12"/>
        <v>3</v>
      </c>
      <c r="H39">
        <f t="shared" si="14"/>
        <v>102</v>
      </c>
      <c r="I39" s="3">
        <f t="shared" si="15"/>
        <v>34</v>
      </c>
    </row>
    <row r="40" spans="2:9" ht="15.6" thickTop="1" thickBot="1" x14ac:dyDescent="0.35">
      <c r="B40" s="14"/>
      <c r="C40" s="3" t="s">
        <v>28</v>
      </c>
      <c r="D40" s="3">
        <v>290</v>
      </c>
      <c r="E40" s="3">
        <f>E43-E37-E38-E39-E41-E42</f>
        <v>20195</v>
      </c>
      <c r="F40" s="3">
        <f t="shared" si="13"/>
        <v>69.637931034482762</v>
      </c>
      <c r="G40">
        <f t="shared" si="12"/>
        <v>0</v>
      </c>
      <c r="H40">
        <f t="shared" si="14"/>
        <v>54</v>
      </c>
      <c r="I40" s="3" t="e">
        <f t="shared" si="15"/>
        <v>#DIV/0!</v>
      </c>
    </row>
    <row r="41" spans="2:9" ht="15.6" thickTop="1" thickBot="1" x14ac:dyDescent="0.35">
      <c r="B41" s="14"/>
      <c r="C41" s="3" t="s">
        <v>29</v>
      </c>
      <c r="D41" s="3">
        <v>445</v>
      </c>
      <c r="E41" s="3">
        <v>147789</v>
      </c>
      <c r="F41" s="3">
        <f t="shared" si="13"/>
        <v>332.11011235955056</v>
      </c>
      <c r="G41">
        <f t="shared" si="12"/>
        <v>1</v>
      </c>
      <c r="H41">
        <f t="shared" si="14"/>
        <v>399</v>
      </c>
      <c r="I41" s="3">
        <f t="shared" si="15"/>
        <v>399</v>
      </c>
    </row>
    <row r="42" spans="2:9" ht="15.6" thickTop="1" thickBot="1" x14ac:dyDescent="0.35">
      <c r="B42" s="14"/>
      <c r="C42" s="3" t="s">
        <v>30</v>
      </c>
      <c r="D42" s="3">
        <v>392</v>
      </c>
      <c r="E42" s="3">
        <v>6700</v>
      </c>
      <c r="F42" s="3">
        <f t="shared" si="13"/>
        <v>17.091836734693878</v>
      </c>
      <c r="G42">
        <f t="shared" si="12"/>
        <v>1</v>
      </c>
      <c r="H42">
        <f t="shared" si="14"/>
        <v>18</v>
      </c>
      <c r="I42" s="3">
        <f t="shared" si="15"/>
        <v>18</v>
      </c>
    </row>
    <row r="43" spans="2:9" ht="15.6" thickTop="1" thickBot="1" x14ac:dyDescent="0.35">
      <c r="B43" s="14"/>
      <c r="C43" s="3"/>
      <c r="D43" s="3">
        <f>SUM(D37:D42)</f>
        <v>9300</v>
      </c>
      <c r="E43" s="3">
        <v>270000</v>
      </c>
      <c r="F43" s="3">
        <f>E43/D43</f>
        <v>29.032258064516128</v>
      </c>
      <c r="G43">
        <f t="shared" si="12"/>
        <v>25</v>
      </c>
      <c r="H43">
        <f t="shared" si="14"/>
        <v>730</v>
      </c>
      <c r="I43" s="3">
        <f>H43/G43</f>
        <v>29.2</v>
      </c>
    </row>
    <row r="44" spans="2:9" ht="15" thickTop="1" x14ac:dyDescent="0.3"/>
  </sheetData>
  <mergeCells count="13">
    <mergeCell ref="D3:F3"/>
    <mergeCell ref="G3:I3"/>
    <mergeCell ref="B3:B11"/>
    <mergeCell ref="B13:B22"/>
    <mergeCell ref="D13:F13"/>
    <mergeCell ref="G13:I13"/>
    <mergeCell ref="A25:A29"/>
    <mergeCell ref="B25:B33"/>
    <mergeCell ref="D25:F25"/>
    <mergeCell ref="G25:I25"/>
    <mergeCell ref="B35:B43"/>
    <mergeCell ref="D35:F35"/>
    <mergeCell ref="G35:I3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6DD8-4052-49C7-8970-1E4DB3287BB2}">
  <dimension ref="A1:AB25"/>
  <sheetViews>
    <sheetView topLeftCell="A10" zoomScale="78" workbookViewId="0">
      <selection activeCell="C22" sqref="C22"/>
    </sheetView>
  </sheetViews>
  <sheetFormatPr defaultRowHeight="14.4" x14ac:dyDescent="0.3"/>
  <cols>
    <col min="1" max="1" width="28.109375" customWidth="1"/>
    <col min="2" max="2" width="28.5546875" customWidth="1"/>
  </cols>
  <sheetData>
    <row r="1" spans="1:28" x14ac:dyDescent="0.3">
      <c r="B1">
        <v>2013</v>
      </c>
      <c r="C1">
        <v>2014</v>
      </c>
      <c r="D1">
        <v>2015</v>
      </c>
      <c r="E1">
        <v>2016</v>
      </c>
    </row>
    <row r="3" spans="1:28" x14ac:dyDescent="0.3">
      <c r="A3" t="s">
        <v>0</v>
      </c>
      <c r="B3">
        <v>319.03999999999996</v>
      </c>
      <c r="C3">
        <v>305.02999999999997</v>
      </c>
      <c r="D3">
        <v>333.36000000000013</v>
      </c>
      <c r="E3">
        <v>269.97000000000003</v>
      </c>
    </row>
    <row r="4" spans="1:28" x14ac:dyDescent="0.3">
      <c r="B4">
        <f>B3</f>
        <v>319.03999999999996</v>
      </c>
      <c r="C4">
        <f>C3+SUM($B$3:B3)</f>
        <v>624.06999999999994</v>
      </c>
      <c r="D4">
        <f>D3+SUM($B$3:C3)</f>
        <v>957.43000000000006</v>
      </c>
      <c r="E4">
        <f>E3+SUM($B$3:D3)</f>
        <v>1227.4000000000001</v>
      </c>
    </row>
    <row r="5" spans="1:28" x14ac:dyDescent="0.3">
      <c r="A5" t="s">
        <v>1</v>
      </c>
      <c r="B5">
        <f>0.0826*B3/100</f>
        <v>0.26352703999999999</v>
      </c>
      <c r="C5">
        <f t="shared" ref="C5:E5" si="0">0.0826*C3/100</f>
        <v>0.25195477999999999</v>
      </c>
      <c r="D5">
        <f t="shared" si="0"/>
        <v>0.2753553600000001</v>
      </c>
      <c r="E5">
        <f t="shared" si="0"/>
        <v>0.22299522000000002</v>
      </c>
    </row>
    <row r="6" spans="1:28" x14ac:dyDescent="0.3">
      <c r="A6" t="s">
        <v>2</v>
      </c>
      <c r="B6">
        <f>B5*1000</f>
        <v>263.52704</v>
      </c>
      <c r="C6">
        <f t="shared" ref="C6:E6" si="1">C5*1000</f>
        <v>251.95478</v>
      </c>
      <c r="D6">
        <f t="shared" si="1"/>
        <v>275.35536000000013</v>
      </c>
      <c r="E6">
        <f t="shared" si="1"/>
        <v>222.99522000000002</v>
      </c>
    </row>
    <row r="7" spans="1:28" x14ac:dyDescent="0.3">
      <c r="A7" t="s">
        <v>3</v>
      </c>
      <c r="B7">
        <f>0.0826*B4*10</f>
        <v>263.52704</v>
      </c>
      <c r="C7">
        <f t="shared" ref="C7:E7" si="2">0.0826*C4*10</f>
        <v>515.48181999999997</v>
      </c>
      <c r="D7">
        <f t="shared" si="2"/>
        <v>790.83717999999999</v>
      </c>
      <c r="E7">
        <f t="shared" si="2"/>
        <v>1013.8324000000001</v>
      </c>
    </row>
    <row r="16" spans="1:28" x14ac:dyDescent="0.3">
      <c r="C16">
        <v>1991</v>
      </c>
      <c r="D16">
        <v>1992</v>
      </c>
      <c r="E16">
        <v>1993</v>
      </c>
      <c r="F16">
        <v>1994</v>
      </c>
      <c r="G16">
        <v>1995</v>
      </c>
      <c r="H16">
        <v>1996</v>
      </c>
      <c r="I16">
        <v>1997</v>
      </c>
      <c r="J16">
        <v>1998</v>
      </c>
      <c r="K16">
        <v>1999</v>
      </c>
      <c r="L16">
        <v>2000</v>
      </c>
      <c r="M16">
        <v>2001</v>
      </c>
      <c r="N16">
        <v>2002</v>
      </c>
      <c r="O16">
        <v>2003</v>
      </c>
      <c r="P16">
        <v>2004</v>
      </c>
      <c r="Q16">
        <v>2005</v>
      </c>
      <c r="R16">
        <v>2006</v>
      </c>
      <c r="S16">
        <v>2007</v>
      </c>
      <c r="T16">
        <v>2008</v>
      </c>
      <c r="U16">
        <v>2009</v>
      </c>
      <c r="V16">
        <v>2010</v>
      </c>
      <c r="W16">
        <v>2011</v>
      </c>
      <c r="X16">
        <v>2012</v>
      </c>
      <c r="Y16">
        <v>2013</v>
      </c>
      <c r="Z16">
        <v>2014</v>
      </c>
      <c r="AA16">
        <v>2015</v>
      </c>
      <c r="AB16">
        <v>2016</v>
      </c>
    </row>
    <row r="18" spans="2:28" x14ac:dyDescent="0.3">
      <c r="B18" t="s">
        <v>5</v>
      </c>
      <c r="C18">
        <v>1.4</v>
      </c>
      <c r="D18">
        <v>1.4099999999999997</v>
      </c>
      <c r="E18">
        <v>1.1200000000000001</v>
      </c>
      <c r="F18">
        <v>1.08</v>
      </c>
      <c r="G18">
        <v>0.86000000000000032</v>
      </c>
      <c r="H18">
        <v>1.0600000000000005</v>
      </c>
      <c r="I18">
        <v>0.98999999999999844</v>
      </c>
      <c r="J18">
        <v>1.6600000000000001</v>
      </c>
      <c r="K18">
        <v>1.7400000000000002</v>
      </c>
      <c r="L18">
        <v>2.120000000000001</v>
      </c>
      <c r="M18">
        <v>2.4199999999999982</v>
      </c>
      <c r="N18">
        <v>1.8900000000000006</v>
      </c>
      <c r="O18">
        <v>1.7200000000000024</v>
      </c>
      <c r="P18">
        <v>2.4199999999999982</v>
      </c>
      <c r="Q18">
        <v>3.9600000000000009</v>
      </c>
      <c r="R18">
        <v>1.8000000000000007</v>
      </c>
      <c r="S18">
        <v>7.269999999999996</v>
      </c>
      <c r="T18">
        <v>11.980000000000004</v>
      </c>
      <c r="U18">
        <v>30.130000000000003</v>
      </c>
      <c r="V18">
        <v>45.86999999999999</v>
      </c>
      <c r="W18">
        <v>97.56</v>
      </c>
      <c r="X18">
        <v>213.60999999999999</v>
      </c>
      <c r="Y18">
        <v>319.03999999999996</v>
      </c>
      <c r="Z18">
        <v>305.02999999999997</v>
      </c>
      <c r="AA18">
        <v>333.36000000000013</v>
      </c>
      <c r="AB18">
        <v>269.97000000000003</v>
      </c>
    </row>
    <row r="19" spans="2:28" x14ac:dyDescent="0.3">
      <c r="B19" t="s">
        <v>4</v>
      </c>
      <c r="D19">
        <v>2.8099999999999996</v>
      </c>
      <c r="E19">
        <v>3.9299999999999997</v>
      </c>
      <c r="F19">
        <v>5.01</v>
      </c>
      <c r="G19">
        <v>5.87</v>
      </c>
      <c r="H19">
        <v>6.9300000000000006</v>
      </c>
      <c r="I19">
        <v>7.919999999999999</v>
      </c>
      <c r="J19">
        <v>9.5799999999999983</v>
      </c>
      <c r="K19">
        <v>11.319999999999999</v>
      </c>
      <c r="L19">
        <v>13.44</v>
      </c>
      <c r="M19">
        <v>15.859999999999998</v>
      </c>
      <c r="N19">
        <v>17.75</v>
      </c>
      <c r="O19">
        <v>19.470000000000002</v>
      </c>
      <c r="P19">
        <v>21.89</v>
      </c>
      <c r="Q19">
        <v>25.85</v>
      </c>
      <c r="R19">
        <v>27.650000000000002</v>
      </c>
      <c r="S19">
        <v>34.92</v>
      </c>
      <c r="T19">
        <v>46.900000000000006</v>
      </c>
      <c r="U19">
        <v>77.03</v>
      </c>
      <c r="V19">
        <v>122.89999999999999</v>
      </c>
      <c r="W19">
        <v>220.45999999999998</v>
      </c>
      <c r="X19">
        <v>434.06999999999994</v>
      </c>
      <c r="Y19">
        <v>753.1099999999999</v>
      </c>
      <c r="Z19">
        <v>1058.1399999999999</v>
      </c>
      <c r="AA19">
        <v>1391.5</v>
      </c>
      <c r="AB19">
        <v>1661.47</v>
      </c>
    </row>
    <row r="20" spans="2:28" x14ac:dyDescent="0.3">
      <c r="B20" t="s">
        <v>8</v>
      </c>
      <c r="D20">
        <f>(D18-C18)/C18*100</f>
        <v>0.71428571428569909</v>
      </c>
      <c r="E20">
        <f t="shared" ref="E20:AB20" si="3">(E18-D18)/D18*100</f>
        <v>-20.567375886524797</v>
      </c>
      <c r="F20">
        <f t="shared" si="3"/>
        <v>-3.5714285714285738</v>
      </c>
      <c r="G20">
        <f t="shared" si="3"/>
        <v>-20.370370370370345</v>
      </c>
      <c r="H20">
        <f t="shared" si="3"/>
        <v>23.255813953488381</v>
      </c>
      <c r="I20">
        <f t="shared" si="3"/>
        <v>-6.6037735849058521</v>
      </c>
      <c r="J20">
        <f t="shared" si="3"/>
        <v>67.676767676767952</v>
      </c>
      <c r="K20">
        <f t="shared" si="3"/>
        <v>4.8192771084337389</v>
      </c>
      <c r="L20">
        <f t="shared" si="3"/>
        <v>21.839080459770159</v>
      </c>
      <c r="M20">
        <f t="shared" si="3"/>
        <v>14.150943396226273</v>
      </c>
      <c r="N20">
        <f t="shared" si="3"/>
        <v>-21.900826446280909</v>
      </c>
      <c r="O20">
        <f t="shared" si="3"/>
        <v>-8.9947089947088941</v>
      </c>
      <c r="P20">
        <f t="shared" si="3"/>
        <v>40.697674418604343</v>
      </c>
      <c r="Q20">
        <f t="shared" si="3"/>
        <v>63.636363636363804</v>
      </c>
      <c r="R20">
        <f t="shared" si="3"/>
        <v>-54.54545454545454</v>
      </c>
      <c r="S20">
        <f t="shared" si="3"/>
        <v>303.88888888888852</v>
      </c>
      <c r="T20">
        <f t="shared" si="3"/>
        <v>64.786795048143205</v>
      </c>
      <c r="U20">
        <f t="shared" si="3"/>
        <v>151.50250417362264</v>
      </c>
      <c r="V20">
        <f t="shared" si="3"/>
        <v>52.240292067706562</v>
      </c>
      <c r="W20">
        <f t="shared" si="3"/>
        <v>112.68803139306742</v>
      </c>
      <c r="X20">
        <f t="shared" si="3"/>
        <v>118.95243952439523</v>
      </c>
      <c r="Y20">
        <f t="shared" si="3"/>
        <v>49.356303543841577</v>
      </c>
      <c r="Z20">
        <f t="shared" si="3"/>
        <v>-4.3912988966900679</v>
      </c>
      <c r="AA20">
        <f t="shared" si="3"/>
        <v>9.2876110546504123</v>
      </c>
      <c r="AB20">
        <f t="shared" si="3"/>
        <v>-19.015478761699086</v>
      </c>
    </row>
    <row r="22" spans="2:28" x14ac:dyDescent="0.3">
      <c r="B22" t="s">
        <v>6</v>
      </c>
      <c r="C22">
        <f>0.3944*C18*10</f>
        <v>5.5215999999999985</v>
      </c>
      <c r="D22">
        <f>0.3944*D18*10</f>
        <v>5.5610399999999984</v>
      </c>
      <c r="E22">
        <f t="shared" ref="E22:AB22" si="4">0.3944*E18*10</f>
        <v>4.4172799999999999</v>
      </c>
      <c r="F22">
        <f t="shared" si="4"/>
        <v>4.2595200000000002</v>
      </c>
      <c r="G22">
        <f t="shared" si="4"/>
        <v>3.3918400000000011</v>
      </c>
      <c r="H22">
        <f t="shared" si="4"/>
        <v>4.1806400000000012</v>
      </c>
      <c r="I22">
        <f t="shared" si="4"/>
        <v>3.9045599999999938</v>
      </c>
      <c r="J22">
        <f t="shared" si="4"/>
        <v>6.5470400000000009</v>
      </c>
      <c r="K22">
        <f t="shared" si="4"/>
        <v>6.8625600000000011</v>
      </c>
      <c r="L22">
        <f t="shared" si="4"/>
        <v>8.3612800000000025</v>
      </c>
      <c r="M22">
        <f t="shared" si="4"/>
        <v>9.5444799999999912</v>
      </c>
      <c r="N22">
        <f t="shared" si="4"/>
        <v>7.4541600000000017</v>
      </c>
      <c r="O22">
        <f t="shared" si="4"/>
        <v>6.7836800000000084</v>
      </c>
      <c r="P22">
        <f t="shared" si="4"/>
        <v>9.5444799999999912</v>
      </c>
      <c r="Q22">
        <f t="shared" si="4"/>
        <v>15.618240000000004</v>
      </c>
      <c r="R22">
        <f t="shared" si="4"/>
        <v>7.0992000000000024</v>
      </c>
      <c r="S22">
        <f t="shared" si="4"/>
        <v>28.672879999999981</v>
      </c>
      <c r="T22">
        <f t="shared" si="4"/>
        <v>47.249120000000019</v>
      </c>
      <c r="U22">
        <f t="shared" si="4"/>
        <v>118.83271999999999</v>
      </c>
      <c r="V22">
        <f t="shared" si="4"/>
        <v>180.91127999999995</v>
      </c>
      <c r="W22">
        <f t="shared" si="4"/>
        <v>384.77663999999999</v>
      </c>
      <c r="X22">
        <f t="shared" si="4"/>
        <v>842.47783999999979</v>
      </c>
      <c r="Y22">
        <f t="shared" si="4"/>
        <v>1258.2937599999998</v>
      </c>
      <c r="Z22">
        <f t="shared" si="4"/>
        <v>1203.0383199999999</v>
      </c>
      <c r="AA22">
        <f t="shared" si="4"/>
        <v>1314.7718400000006</v>
      </c>
      <c r="AB22">
        <f t="shared" si="4"/>
        <v>1064.7616800000001</v>
      </c>
    </row>
    <row r="23" spans="2:28" x14ac:dyDescent="0.3">
      <c r="B23" t="s">
        <v>7</v>
      </c>
      <c r="C23">
        <f>C22</f>
        <v>5.5215999999999985</v>
      </c>
      <c r="D23">
        <f>D22+SUM($C$22:C22)</f>
        <v>11.082639999999998</v>
      </c>
      <c r="E23">
        <f>E22+SUM($C$22:D22)</f>
        <v>15.499919999999998</v>
      </c>
      <c r="F23">
        <f>F22+SUM($C$22:E22)</f>
        <v>19.759439999999998</v>
      </c>
      <c r="G23">
        <f>G22+SUM($C$22:F22)</f>
        <v>23.15128</v>
      </c>
      <c r="H23">
        <f>H22+SUM($C$22:G22)</f>
        <v>27.33192</v>
      </c>
      <c r="I23">
        <f>I22+SUM($C$22:H22)</f>
        <v>31.236479999999993</v>
      </c>
      <c r="J23">
        <f>J22+SUM($C$22:I22)</f>
        <v>37.783519999999996</v>
      </c>
      <c r="K23">
        <f>K22+SUM($C$22:J22)</f>
        <v>44.646079999999998</v>
      </c>
      <c r="L23">
        <f>L22+SUM($C$22:K22)</f>
        <v>53.007359999999998</v>
      </c>
      <c r="M23">
        <f>M22+SUM($C$22:L22)</f>
        <v>62.551839999999991</v>
      </c>
      <c r="N23">
        <f>N22+SUM($C$22:M22)</f>
        <v>70.006</v>
      </c>
      <c r="O23">
        <f>O22+SUM($C$22:N22)</f>
        <v>76.789680000000004</v>
      </c>
      <c r="P23">
        <f>P22+SUM($C$22:O22)</f>
        <v>86.334159999999997</v>
      </c>
      <c r="Q23">
        <f>Q22+SUM($C$22:P22)</f>
        <v>101.9524</v>
      </c>
      <c r="R23">
        <f>R22+SUM($C$22:Q22)</f>
        <v>109.05159999999999</v>
      </c>
      <c r="S23">
        <f>S22+SUM($C$22:R22)</f>
        <v>137.72447999999997</v>
      </c>
      <c r="T23">
        <f>T22+SUM($C$22:S22)</f>
        <v>184.97359999999998</v>
      </c>
      <c r="U23">
        <f>U22+SUM($C$22:T22)</f>
        <v>303.80631999999997</v>
      </c>
      <c r="V23">
        <f>V22+SUM($C$22:U22)</f>
        <v>484.71759999999995</v>
      </c>
      <c r="W23">
        <f>W22+SUM($C$22:V22)</f>
        <v>869.49423999999999</v>
      </c>
      <c r="X23">
        <f>X22+SUM($C$22:W22)</f>
        <v>1711.9720799999998</v>
      </c>
      <c r="Y23">
        <f>Y22+SUM($C$22:X22)</f>
        <v>2970.2658399999996</v>
      </c>
      <c r="Z23">
        <f>Z22+SUM($C$22:Y22)</f>
        <v>4173.3041599999997</v>
      </c>
      <c r="AA23">
        <f>AA22+SUM($C$22:Z22)</f>
        <v>5488.076</v>
      </c>
      <c r="AB23">
        <f>AB22+SUM($C$22:AA22)</f>
        <v>6552.8376800000005</v>
      </c>
    </row>
    <row r="24" spans="2:28" x14ac:dyDescent="0.3">
      <c r="B24" t="s">
        <v>9</v>
      </c>
      <c r="D24">
        <f>(D22-C22)/C22*100</f>
        <v>0.71428571428571308</v>
      </c>
      <c r="E24">
        <f>(E22-D22)/D22*100</f>
        <v>-20.567375886524804</v>
      </c>
      <c r="F24">
        <f t="shared" ref="F24:AA25" si="5">(F22-E22)/E22*100</f>
        <v>-3.5714285714285641</v>
      </c>
      <c r="G24">
        <f t="shared" si="5"/>
        <v>-20.370370370370349</v>
      </c>
      <c r="H24">
        <f t="shared" si="5"/>
        <v>23.255813953488371</v>
      </c>
      <c r="I24">
        <f t="shared" si="5"/>
        <v>-6.6037735849058361</v>
      </c>
      <c r="J24">
        <f t="shared" si="5"/>
        <v>67.676767676767966</v>
      </c>
      <c r="K24">
        <f t="shared" si="5"/>
        <v>4.819277108433738</v>
      </c>
      <c r="L24">
        <f t="shared" si="5"/>
        <v>21.839080459770134</v>
      </c>
      <c r="M24">
        <f t="shared" si="5"/>
        <v>14.150943396226277</v>
      </c>
      <c r="N24">
        <f t="shared" si="5"/>
        <v>-21.900826446280902</v>
      </c>
      <c r="O24">
        <f t="shared" si="5"/>
        <v>-8.9947089947089029</v>
      </c>
      <c r="P24">
        <f t="shared" si="5"/>
        <v>40.697674418604343</v>
      </c>
      <c r="Q24">
        <f t="shared" si="5"/>
        <v>63.636363636363825</v>
      </c>
      <c r="R24">
        <f t="shared" si="5"/>
        <v>-54.545454545454533</v>
      </c>
      <c r="S24">
        <f t="shared" si="5"/>
        <v>303.88888888888846</v>
      </c>
      <c r="T24">
        <f t="shared" si="5"/>
        <v>64.786795048143233</v>
      </c>
      <c r="U24">
        <f t="shared" si="5"/>
        <v>151.50250417362258</v>
      </c>
      <c r="V24">
        <f t="shared" si="5"/>
        <v>52.240292067706577</v>
      </c>
      <c r="W24">
        <f t="shared" si="5"/>
        <v>112.68803139306742</v>
      </c>
      <c r="X24">
        <f t="shared" si="5"/>
        <v>118.9524395243952</v>
      </c>
      <c r="Y24">
        <f t="shared" si="5"/>
        <v>49.356303543841598</v>
      </c>
      <c r="Z24">
        <f t="shared" si="5"/>
        <v>-4.3912988966900635</v>
      </c>
      <c r="AA24">
        <f t="shared" si="5"/>
        <v>9.2876110546504194</v>
      </c>
      <c r="AB24">
        <f>(AB22-AA22)/AA22*100</f>
        <v>-19.015478761699097</v>
      </c>
    </row>
    <row r="25" spans="2:28" x14ac:dyDescent="0.3">
      <c r="B25" t="s">
        <v>10</v>
      </c>
      <c r="D25">
        <f>(D23-C23)/C23*100</f>
        <v>100.71428571428574</v>
      </c>
      <c r="E25">
        <f>(E23-D23)/D23*100</f>
        <v>39.857651245551608</v>
      </c>
      <c r="F25">
        <f>(F23-E23)/E23*100</f>
        <v>27.48091603053436</v>
      </c>
      <c r="G25">
        <f t="shared" si="5"/>
        <v>17.165668662674662</v>
      </c>
      <c r="H25">
        <f t="shared" si="5"/>
        <v>18.057921635434415</v>
      </c>
      <c r="I25">
        <f t="shared" si="5"/>
        <v>14.28571428571426</v>
      </c>
      <c r="J25">
        <f t="shared" si="5"/>
        <v>20.959595959595973</v>
      </c>
      <c r="K25">
        <f t="shared" si="5"/>
        <v>18.162839248434246</v>
      </c>
      <c r="L25">
        <f t="shared" si="5"/>
        <v>18.727915194346291</v>
      </c>
      <c r="M25">
        <f t="shared" si="5"/>
        <v>18.005952380952365</v>
      </c>
      <c r="N25">
        <f t="shared" si="5"/>
        <v>11.916771752837342</v>
      </c>
      <c r="O25">
        <f t="shared" si="5"/>
        <v>9.6901408450704292</v>
      </c>
      <c r="P25">
        <f t="shared" si="5"/>
        <v>12.429378531073436</v>
      </c>
      <c r="Q25">
        <f t="shared" si="5"/>
        <v>18.090452261306535</v>
      </c>
      <c r="R25">
        <f t="shared" si="5"/>
        <v>6.9632495164410013</v>
      </c>
      <c r="S25">
        <f t="shared" si="5"/>
        <v>26.292947558770326</v>
      </c>
      <c r="T25">
        <f t="shared" si="5"/>
        <v>34.306987399770918</v>
      </c>
      <c r="U25">
        <f t="shared" si="5"/>
        <v>64.243070362473347</v>
      </c>
      <c r="V25">
        <f t="shared" si="5"/>
        <v>59.548227963131254</v>
      </c>
      <c r="W25">
        <f t="shared" si="5"/>
        <v>79.381611065907251</v>
      </c>
      <c r="X25">
        <f t="shared" si="5"/>
        <v>96.892860382835863</v>
      </c>
      <c r="Y25">
        <f t="shared" si="5"/>
        <v>73.499665952496144</v>
      </c>
      <c r="Z25">
        <f t="shared" si="5"/>
        <v>40.502715406779892</v>
      </c>
      <c r="AA25">
        <f t="shared" si="5"/>
        <v>31.504337800291086</v>
      </c>
      <c r="AB25">
        <f>(AB23-AA23)/AA23*100</f>
        <v>19.401365432985994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6E04-6176-4AF0-A264-AB59763FED1E}">
  <dimension ref="A1:B13"/>
  <sheetViews>
    <sheetView workbookViewId="0">
      <selection activeCell="F22" sqref="F22"/>
    </sheetView>
  </sheetViews>
  <sheetFormatPr defaultRowHeight="14.4" x14ac:dyDescent="0.3"/>
  <sheetData>
    <row r="1" spans="1:2" x14ac:dyDescent="0.3">
      <c r="A1">
        <v>1610</v>
      </c>
    </row>
    <row r="2" spans="1:2" x14ac:dyDescent="0.3">
      <c r="A2">
        <v>2765</v>
      </c>
      <c r="B2">
        <f>(A2-A1)/A1*100</f>
        <v>71.739130434782609</v>
      </c>
    </row>
    <row r="3" spans="1:2" x14ac:dyDescent="0.3">
      <c r="A3">
        <v>4455</v>
      </c>
      <c r="B3">
        <f t="shared" ref="B3:B13" si="0">(A3-A2)/A2*100</f>
        <v>61.121157323688969</v>
      </c>
    </row>
    <row r="4" spans="1:2" x14ac:dyDescent="0.3">
      <c r="A4">
        <v>4931</v>
      </c>
      <c r="B4">
        <f t="shared" si="0"/>
        <v>10.684624017957352</v>
      </c>
    </row>
    <row r="5" spans="1:2" x14ac:dyDescent="0.3">
      <c r="A5">
        <v>7201</v>
      </c>
      <c r="B5">
        <f t="shared" si="0"/>
        <v>46.035286960048673</v>
      </c>
    </row>
    <row r="6" spans="1:2" x14ac:dyDescent="0.3">
      <c r="A6">
        <v>8717</v>
      </c>
      <c r="B6">
        <f t="shared" si="0"/>
        <v>21.052631578947366</v>
      </c>
    </row>
    <row r="7" spans="1:2" x14ac:dyDescent="0.3">
      <c r="A7">
        <v>11484</v>
      </c>
      <c r="B7">
        <f t="shared" si="0"/>
        <v>31.742571985774919</v>
      </c>
    </row>
    <row r="8" spans="1:2" x14ac:dyDescent="0.3">
      <c r="A8">
        <v>11484</v>
      </c>
      <c r="B8">
        <f t="shared" si="0"/>
        <v>0</v>
      </c>
    </row>
    <row r="9" spans="1:2" x14ac:dyDescent="0.3">
      <c r="A9">
        <v>11484</v>
      </c>
      <c r="B9">
        <f t="shared" si="0"/>
        <v>0</v>
      </c>
    </row>
    <row r="10" spans="1:2" x14ac:dyDescent="0.3">
      <c r="A10">
        <v>11484</v>
      </c>
      <c r="B10">
        <f t="shared" si="0"/>
        <v>0</v>
      </c>
    </row>
    <row r="11" spans="1:2" x14ac:dyDescent="0.3">
      <c r="A11">
        <v>11484</v>
      </c>
      <c r="B11">
        <f t="shared" si="0"/>
        <v>0</v>
      </c>
    </row>
    <row r="12" spans="1:2" x14ac:dyDescent="0.3">
      <c r="A12">
        <v>11484</v>
      </c>
      <c r="B12">
        <f t="shared" si="0"/>
        <v>0</v>
      </c>
    </row>
    <row r="13" spans="1:2" x14ac:dyDescent="0.3">
      <c r="A13">
        <v>11921</v>
      </c>
      <c r="B13">
        <f t="shared" si="0"/>
        <v>3.8052943225357017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72B1-DD49-4C50-A101-EB6FF0D42837}">
  <dimension ref="G5:K10"/>
  <sheetViews>
    <sheetView workbookViewId="0">
      <selection activeCell="J18" sqref="J18"/>
    </sheetView>
  </sheetViews>
  <sheetFormatPr defaultRowHeight="14.4" x14ac:dyDescent="0.3"/>
  <cols>
    <col min="7" max="7" width="13.6640625" customWidth="1"/>
    <col min="8" max="8" width="19.109375" customWidth="1"/>
    <col min="9" max="9" width="13.109375" customWidth="1"/>
    <col min="10" max="10" width="19.88671875" customWidth="1"/>
    <col min="11" max="11" width="12.44140625" customWidth="1"/>
  </cols>
  <sheetData>
    <row r="5" spans="7:11" x14ac:dyDescent="0.3">
      <c r="G5" t="s">
        <v>18</v>
      </c>
      <c r="H5" s="12" t="s">
        <v>14</v>
      </c>
      <c r="I5" s="12"/>
      <c r="J5" s="12" t="s">
        <v>17</v>
      </c>
      <c r="K5" s="12"/>
    </row>
    <row r="6" spans="7:11" x14ac:dyDescent="0.3">
      <c r="H6" t="s">
        <v>19</v>
      </c>
      <c r="I6" t="s">
        <v>16</v>
      </c>
      <c r="J6" t="s">
        <v>19</v>
      </c>
      <c r="K6" t="s">
        <v>16</v>
      </c>
    </row>
    <row r="7" spans="7:11" x14ac:dyDescent="0.3">
      <c r="G7" t="s">
        <v>11</v>
      </c>
      <c r="H7">
        <v>1053</v>
      </c>
      <c r="I7">
        <v>122246</v>
      </c>
      <c r="J7">
        <v>423</v>
      </c>
      <c r="K7">
        <v>14521</v>
      </c>
    </row>
    <row r="8" spans="7:11" x14ac:dyDescent="0.3">
      <c r="G8" t="s">
        <v>12</v>
      </c>
      <c r="H8">
        <v>291</v>
      </c>
      <c r="I8">
        <v>48463</v>
      </c>
      <c r="J8">
        <v>109</v>
      </c>
      <c r="K8">
        <v>5349</v>
      </c>
    </row>
    <row r="9" spans="7:11" x14ac:dyDescent="0.3">
      <c r="G9" t="s">
        <v>13</v>
      </c>
      <c r="H9">
        <f>H10-H8-H7</f>
        <v>93</v>
      </c>
      <c r="I9">
        <v>11839</v>
      </c>
      <c r="J9">
        <v>34</v>
      </c>
      <c r="K9">
        <v>1179</v>
      </c>
    </row>
    <row r="10" spans="7:11" x14ac:dyDescent="0.3">
      <c r="G10" t="s">
        <v>15</v>
      </c>
      <c r="H10">
        <v>1437</v>
      </c>
      <c r="I10">
        <v>182548</v>
      </c>
      <c r="J10">
        <v>566</v>
      </c>
      <c r="K10">
        <v>21049</v>
      </c>
    </row>
  </sheetData>
  <mergeCells count="2"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Prakhar Mehta</cp:lastModifiedBy>
  <dcterms:created xsi:type="dcterms:W3CDTF">2019-05-02T18:46:33Z</dcterms:created>
  <dcterms:modified xsi:type="dcterms:W3CDTF">2019-05-27T08:40:51Z</dcterms:modified>
</cp:coreProperties>
</file>