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ables/table1.xml" ContentType="application/vnd.openxmlformats-officedocument.spreadsheetml.table+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mc:AlternateContent xmlns:mc="http://schemas.openxmlformats.org/markup-compatibility/2006">
    <mc:Choice Requires="x15">
      <x15ac:absPath xmlns:x15ac="http://schemas.microsoft.com/office/spreadsheetml/2010/11/ac" url="https://usafa0-my.sharepoint.com/personal/c21nicholas_parham_afacademy_af_edu/Documents/PARHAM/Academics/OpsRsch 422/Ziberty/playground/"/>
    </mc:Choice>
  </mc:AlternateContent>
  <xr:revisionPtr revIDLastSave="9" documentId="8_{FA8D9FED-6864-42C7-AAC4-5B9B6285E47D}" xr6:coauthVersionLast="46" xr6:coauthVersionMax="46" xr10:uidLastSave="{856724DB-7AEC-46DD-9264-199E68CBA6BF}"/>
  <bookViews>
    <workbookView xWindow="-108" yWindow="-108" windowWidth="23256" windowHeight="12576" firstSheet="2" activeTab="3" xr2:uid="{6756BDCF-CFE5-40F4-8E0B-E69D25DBB436}"/>
  </bookViews>
  <sheets>
    <sheet name="Pricing Inputs" sheetId="13" r:id="rId1"/>
    <sheet name="Notes" sheetId="6" r:id="rId2"/>
    <sheet name="Attributes Inputs and Outputs" sheetId="1" r:id="rId3"/>
    <sheet name="Packages Inputs and Outputs" sheetId="12" r:id="rId4"/>
    <sheet name="Package Price Calculations" sheetId="7" r:id="rId5"/>
    <sheet name="Package Price Back Calcs" sheetId="8" r:id="rId6"/>
    <sheet name="Defaults and Ranges" sheetId="2" r:id="rId7"/>
    <sheet name="Inputs" sheetId="5" r:id="rId8"/>
    <sheet name="Attributes Calculations" sheetId="3" r:id="rId9"/>
    <sheet name="Attributes Back Calcs" sheetId="4"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2" l="1"/>
  <c r="C183" i="8"/>
  <c r="C174" i="8"/>
  <c r="C165" i="8"/>
  <c r="C114" i="8" l="1"/>
  <c r="C101" i="8" l="1"/>
  <c r="C109" i="8"/>
  <c r="C182" i="8" l="1"/>
  <c r="C339" i="8" l="1"/>
  <c r="C302" i="8" l="1"/>
  <c r="C118" i="8" l="1"/>
  <c r="C110" i="8"/>
  <c r="C102" i="8"/>
  <c r="C94" i="8"/>
  <c r="D576" i="8" l="1"/>
  <c r="G69" i="8" l="1"/>
  <c r="D1112" i="8" l="1"/>
  <c r="D354" i="8" l="1"/>
  <c r="D347" i="8"/>
  <c r="D49" i="8"/>
  <c r="D472" i="8"/>
  <c r="D462" i="8"/>
  <c r="D452" i="8"/>
  <c r="D442" i="8"/>
  <c r="D428" i="8"/>
  <c r="D418" i="8"/>
  <c r="D408" i="8"/>
  <c r="D398" i="8"/>
  <c r="D226" i="8"/>
  <c r="D217" i="8"/>
  <c r="D208" i="8"/>
  <c r="D169" i="8"/>
  <c r="D187" i="8"/>
  <c r="D178" i="8"/>
  <c r="F160" i="8"/>
  <c r="E160" i="8"/>
  <c r="D76" i="8"/>
  <c r="D67" i="8"/>
  <c r="D58" i="8"/>
  <c r="E33" i="8"/>
  <c r="C33" i="8"/>
  <c r="D33" i="8" s="1"/>
  <c r="C41" i="8"/>
  <c r="D41" i="8"/>
  <c r="E41" i="8" s="1"/>
  <c r="D113" i="8"/>
  <c r="D105" i="8"/>
  <c r="D97" i="8"/>
  <c r="D89" i="8"/>
  <c r="I90" i="8"/>
  <c r="I89" i="8"/>
  <c r="C79" i="8" l="1"/>
  <c r="C70" i="8"/>
  <c r="D600" i="8" l="1"/>
  <c r="D487" i="8"/>
  <c r="D333" i="8"/>
  <c r="D294" i="8"/>
  <c r="C23" i="8"/>
  <c r="C115" i="8" l="1"/>
  <c r="C107" i="8"/>
  <c r="C99" i="8"/>
  <c r="C91" i="8"/>
  <c r="I989" i="8" l="1"/>
  <c r="I988" i="8"/>
  <c r="U10" i="1" l="1"/>
  <c r="B806" i="8" l="1"/>
  <c r="C806" i="8" s="1"/>
  <c r="B805" i="8"/>
  <c r="L66" i="12" l="1"/>
  <c r="E1400" i="8"/>
  <c r="D209" i="7"/>
  <c r="C61" i="8" l="1"/>
  <c r="C52" i="8"/>
  <c r="C106" i="8" l="1"/>
  <c r="C1" i="2" l="1"/>
  <c r="C803" i="8" l="1"/>
  <c r="C802" i="8"/>
  <c r="C800" i="8"/>
  <c r="C796" i="8"/>
  <c r="C794" i="8"/>
  <c r="C790" i="8"/>
  <c r="C788" i="8"/>
  <c r="C786" i="8"/>
  <c r="C784" i="8"/>
  <c r="C780" i="8"/>
  <c r="C778" i="8"/>
  <c r="C387" i="8"/>
  <c r="C380" i="8"/>
  <c r="D376" i="8"/>
  <c r="C378" i="8"/>
  <c r="C371" i="8"/>
  <c r="C364" i="8"/>
  <c r="AA10" i="3" l="1"/>
  <c r="D868" i="8"/>
  <c r="C812" i="8" l="1"/>
  <c r="C818" i="8"/>
  <c r="C817" i="8"/>
  <c r="C811" i="8"/>
  <c r="D43" i="2" l="1"/>
  <c r="E43" i="2" s="1"/>
  <c r="E44" i="2" s="1"/>
  <c r="E45" i="2" s="1"/>
  <c r="E46" i="2" s="1"/>
  <c r="E47" i="2" s="1"/>
  <c r="E48" i="2" s="1"/>
  <c r="E49" i="2" s="1"/>
  <c r="D44" i="2" l="1"/>
  <c r="D45" i="2" s="1"/>
  <c r="F43" i="2"/>
  <c r="F44" i="2" l="1"/>
  <c r="D46" i="2" l="1"/>
  <c r="F45" i="2"/>
  <c r="F46" i="2" l="1"/>
  <c r="D47" i="2"/>
  <c r="F47" i="2" l="1"/>
  <c r="D48" i="2"/>
  <c r="F48" i="2" l="1"/>
  <c r="D49" i="2"/>
  <c r="F49" i="2" s="1"/>
  <c r="AD20" i="4" l="1"/>
  <c r="C1192" i="8" l="1"/>
  <c r="C1200" i="8"/>
  <c r="E489" i="8" l="1"/>
  <c r="D503" i="8"/>
  <c r="D504" i="8"/>
  <c r="D494" i="8"/>
  <c r="C497" i="8" l="1"/>
  <c r="C498" i="8"/>
  <c r="C494" i="8"/>
  <c r="D751" i="8" l="1"/>
  <c r="C765" i="8"/>
  <c r="D1101" i="8" l="1"/>
  <c r="D1117" i="8" s="1"/>
  <c r="D1133" i="8" s="1"/>
  <c r="D1149" i="8" s="1"/>
  <c r="D1107" i="8"/>
  <c r="D1123" i="8" s="1"/>
  <c r="D1139" i="8" s="1"/>
  <c r="D1155" i="8" s="1"/>
  <c r="D1104" i="8"/>
  <c r="D1120" i="8" s="1"/>
  <c r="D1136" i="8" s="1"/>
  <c r="D1152" i="8" s="1"/>
  <c r="D1098" i="8"/>
  <c r="D1114" i="8" s="1"/>
  <c r="D1130" i="8" s="1"/>
  <c r="D1146" i="8" s="1"/>
  <c r="D279" i="7" l="1"/>
  <c r="D60" i="12" s="1"/>
  <c r="M29" i="4"/>
  <c r="AK10" i="3"/>
  <c r="C253" i="8" l="1"/>
  <c r="C247" i="8"/>
  <c r="C241" i="8"/>
  <c r="D734" i="8" l="1"/>
  <c r="D729" i="8"/>
  <c r="D174" i="7" l="1"/>
  <c r="AD17" i="3"/>
  <c r="AD15" i="3"/>
  <c r="AD13" i="3"/>
  <c r="AJ10" i="3" l="1"/>
  <c r="M31" i="4"/>
  <c r="M41" i="4" s="1"/>
  <c r="M45" i="4" l="1"/>
  <c r="AE10" i="3"/>
  <c r="R10" i="3" l="1"/>
  <c r="G10" i="3" l="1"/>
  <c r="C1376" i="8"/>
  <c r="C1371" i="8"/>
  <c r="C1370" i="8"/>
  <c r="C1365" i="8" l="1"/>
  <c r="C1364" i="8"/>
  <c r="C1359" i="8"/>
  <c r="C1358" i="8"/>
  <c r="D64" i="12" l="1"/>
  <c r="L64" i="12" l="1"/>
  <c r="G64" i="12" s="1"/>
  <c r="L52" i="12"/>
  <c r="C1351" i="8"/>
  <c r="E1351" i="8" s="1"/>
  <c r="G1351" i="8" s="1"/>
  <c r="E1352" i="8"/>
  <c r="G1352" i="8" s="1"/>
  <c r="E1350" i="8"/>
  <c r="G1350" i="8" s="1"/>
  <c r="D1349" i="8"/>
  <c r="E1349" i="8" s="1"/>
  <c r="G1349" i="8" s="1"/>
  <c r="C1345" i="8"/>
  <c r="E1345" i="8" s="1"/>
  <c r="G1345" i="8" s="1"/>
  <c r="D1343" i="8"/>
  <c r="E1343" i="8" s="1"/>
  <c r="G1343" i="8" s="1"/>
  <c r="E1346" i="8"/>
  <c r="G1346" i="8" s="1"/>
  <c r="E1344" i="8"/>
  <c r="G1344" i="8" s="1"/>
  <c r="C1333" i="8"/>
  <c r="E1333" i="8" s="1"/>
  <c r="G1333" i="8" s="1"/>
  <c r="C1339" i="8"/>
  <c r="E1339" i="8" s="1"/>
  <c r="G1339" i="8" s="1"/>
  <c r="E1340" i="8"/>
  <c r="G1340" i="8" s="1"/>
  <c r="E1338" i="8"/>
  <c r="G1338" i="8" s="1"/>
  <c r="D1337" i="8"/>
  <c r="E1337" i="8" s="1"/>
  <c r="G1337" i="8" s="1"/>
  <c r="E1334" i="8"/>
  <c r="G1334" i="8" s="1"/>
  <c r="E1332" i="8"/>
  <c r="G1332" i="8" s="1"/>
  <c r="D1331" i="8"/>
  <c r="E1331" i="8" s="1"/>
  <c r="G1331" i="8" s="1"/>
  <c r="E1329" i="8"/>
  <c r="G1341" i="8" l="1"/>
  <c r="G1347" i="8"/>
  <c r="G1353" i="8"/>
  <c r="G1335" i="8"/>
  <c r="L53" i="12"/>
  <c r="E1310" i="8"/>
  <c r="E1270" i="8"/>
  <c r="C1281" i="8" s="1"/>
  <c r="G1281" i="8" s="1"/>
  <c r="G1282" i="8" s="1"/>
  <c r="L54" i="12"/>
  <c r="D1305" i="8"/>
  <c r="E1305" i="8" s="1"/>
  <c r="D1304" i="8"/>
  <c r="E1304" i="8" s="1"/>
  <c r="D1301" i="8"/>
  <c r="E1301" i="8" s="1"/>
  <c r="D1300" i="8"/>
  <c r="E1300" i="8" s="1"/>
  <c r="D1299" i="8"/>
  <c r="E1299" i="8" s="1"/>
  <c r="D1298" i="8"/>
  <c r="E1298" i="8" s="1"/>
  <c r="D1294" i="8"/>
  <c r="E1294" i="8" s="1"/>
  <c r="E1295" i="8"/>
  <c r="D1293" i="8"/>
  <c r="E1293" i="8" s="1"/>
  <c r="D1292" i="8"/>
  <c r="E1292" i="8" s="1"/>
  <c r="C1288" i="8"/>
  <c r="G1288" i="8" s="1"/>
  <c r="D300" i="7"/>
  <c r="C1278" i="8"/>
  <c r="G1278" i="8" s="1"/>
  <c r="G1279" i="8" s="1"/>
  <c r="C1275" i="8"/>
  <c r="G1275" i="8" s="1"/>
  <c r="G1276" i="8" s="1"/>
  <c r="G1272" i="8"/>
  <c r="G1273" i="8" s="1"/>
  <c r="D1324" i="8" l="1"/>
  <c r="E1324" i="8" s="1"/>
  <c r="D63" i="12"/>
  <c r="L63" i="12" s="1"/>
  <c r="D242" i="7"/>
  <c r="N52" i="12" s="1"/>
  <c r="D241" i="7"/>
  <c r="M52" i="12" s="1"/>
  <c r="D243" i="7"/>
  <c r="O52" i="12" s="1"/>
  <c r="D302" i="7"/>
  <c r="D1315" i="8"/>
  <c r="G1315" i="8" s="1"/>
  <c r="G1317" i="8" s="1"/>
  <c r="D1319" i="8"/>
  <c r="E1319" i="8" s="1"/>
  <c r="D1320" i="8"/>
  <c r="E1320" i="8" s="1"/>
  <c r="D1323" i="8"/>
  <c r="E1323" i="8" s="1"/>
  <c r="G1324" i="8" s="1"/>
  <c r="G1325" i="8" s="1"/>
  <c r="D1311" i="8"/>
  <c r="G1311" i="8" s="1"/>
  <c r="G1313" i="8" s="1"/>
  <c r="G1295" i="8"/>
  <c r="D304" i="7"/>
  <c r="D303" i="7"/>
  <c r="G1293" i="8"/>
  <c r="G1299" i="8"/>
  <c r="G1305" i="8"/>
  <c r="G1306" i="8" s="1"/>
  <c r="G1301" i="8"/>
  <c r="G1290" i="8"/>
  <c r="AH15" i="3"/>
  <c r="AH13" i="3"/>
  <c r="N63" i="12" l="1"/>
  <c r="M63" i="12"/>
  <c r="O63" i="12"/>
  <c r="K63" i="12"/>
  <c r="K52" i="12"/>
  <c r="G1320" i="8"/>
  <c r="G1321" i="8" s="1"/>
  <c r="D247" i="7" s="1"/>
  <c r="N53" i="12" s="1"/>
  <c r="E1315" i="8"/>
  <c r="G1296" i="8"/>
  <c r="D251" i="7" s="1"/>
  <c r="M54" i="12" s="1"/>
  <c r="D246" i="7"/>
  <c r="M53" i="12" s="1"/>
  <c r="D248" i="7"/>
  <c r="D253" i="7"/>
  <c r="O54" i="12" s="1"/>
  <c r="G1302" i="8"/>
  <c r="D252" i="7" s="1"/>
  <c r="N54" i="12" s="1"/>
  <c r="D295" i="7"/>
  <c r="D65" i="12" s="1"/>
  <c r="C1241" i="8"/>
  <c r="E1239" i="8"/>
  <c r="G1247" i="8" s="1"/>
  <c r="G1248" i="8" s="1"/>
  <c r="L65" i="12" l="1"/>
  <c r="K54" i="12"/>
  <c r="O53" i="12"/>
  <c r="K53" i="12"/>
  <c r="D1244" i="8"/>
  <c r="G1244" i="8" s="1"/>
  <c r="G1245" i="8" s="1"/>
  <c r="D1241" i="8"/>
  <c r="G1241" i="8" s="1"/>
  <c r="R12" i="3" s="1"/>
  <c r="G1250" i="8"/>
  <c r="G1251" i="8" s="1"/>
  <c r="L60" i="12"/>
  <c r="G1221" i="8"/>
  <c r="G1223" i="8" s="1"/>
  <c r="AK13" i="3" s="1"/>
  <c r="AK7" i="3" s="1"/>
  <c r="AK6" i="3" l="1"/>
  <c r="H44" i="1" s="1"/>
  <c r="G1242" i="8"/>
  <c r="D172" i="7" s="1"/>
  <c r="L58" i="12"/>
  <c r="C1213" i="8"/>
  <c r="C1211" i="8"/>
  <c r="C1210" i="8"/>
  <c r="K528" i="8"/>
  <c r="K525" i="8"/>
  <c r="J527" i="8"/>
  <c r="K527" i="8" s="1"/>
  <c r="C564" i="8"/>
  <c r="F564" i="8" s="1"/>
  <c r="G564" i="8" s="1"/>
  <c r="J526" i="8"/>
  <c r="K526" i="8" s="1"/>
  <c r="C553" i="8"/>
  <c r="F553" i="8" s="1"/>
  <c r="G553" i="8" s="1"/>
  <c r="F542" i="8"/>
  <c r="G542" i="8" s="1"/>
  <c r="F531" i="8"/>
  <c r="G531" i="8" s="1"/>
  <c r="J18" i="8"/>
  <c r="J16" i="8"/>
  <c r="K530" i="8" l="1"/>
  <c r="D173" i="7"/>
  <c r="D171" i="7"/>
  <c r="I24" i="8"/>
  <c r="I25" i="8" s="1"/>
  <c r="I26" i="8" s="1"/>
  <c r="I27" i="8" s="1"/>
  <c r="I28" i="8" s="1"/>
  <c r="I29" i="8" s="1"/>
  <c r="I30" i="8" s="1"/>
  <c r="G1212" i="8"/>
  <c r="G1210" i="8"/>
  <c r="G1205" i="8"/>
  <c r="G1204" i="8"/>
  <c r="G1199" i="8"/>
  <c r="G1192" i="8"/>
  <c r="G1191" i="8"/>
  <c r="G1188" i="8"/>
  <c r="G1187" i="8"/>
  <c r="G1186" i="8"/>
  <c r="G1185" i="8"/>
  <c r="G1183" i="8"/>
  <c r="G1182" i="8"/>
  <c r="G1181" i="8"/>
  <c r="G1179" i="8"/>
  <c r="C1198" i="8"/>
  <c r="G1198" i="8" s="1"/>
  <c r="G1200" i="8"/>
  <c r="C1197" i="8"/>
  <c r="G1197" i="8" s="1"/>
  <c r="C1184" i="8"/>
  <c r="G1184" i="8" s="1"/>
  <c r="G1175" i="8"/>
  <c r="G1174" i="8"/>
  <c r="G1173" i="8"/>
  <c r="G1172" i="8"/>
  <c r="G1171" i="8"/>
  <c r="G1170" i="8"/>
  <c r="G1169" i="8"/>
  <c r="G1168" i="8"/>
  <c r="G1167" i="8"/>
  <c r="G1166" i="8"/>
  <c r="G1178" i="8"/>
  <c r="G1165" i="8"/>
  <c r="C1180" i="8"/>
  <c r="L57" i="12"/>
  <c r="G1176" i="8" l="1"/>
  <c r="D1154" i="8"/>
  <c r="D1148" i="8"/>
  <c r="D1145" i="8"/>
  <c r="D1153" i="8"/>
  <c r="D1144" i="8"/>
  <c r="D1122" i="8"/>
  <c r="D1138" i="8" s="1"/>
  <c r="D1121" i="8"/>
  <c r="D1137" i="8" s="1"/>
  <c r="D1128" i="8"/>
  <c r="D1119" i="8"/>
  <c r="D1135" i="8" s="1"/>
  <c r="D1151" i="8" s="1"/>
  <c r="D1116" i="8"/>
  <c r="D1132" i="8" s="1"/>
  <c r="D1113" i="8"/>
  <c r="D1129" i="8" s="1"/>
  <c r="D1118" i="8"/>
  <c r="D1134" i="8" s="1"/>
  <c r="D1150" i="8" s="1"/>
  <c r="D1115" i="8"/>
  <c r="D1131" i="8" s="1"/>
  <c r="D1147" i="8" s="1"/>
  <c r="L56" i="12" l="1"/>
  <c r="U68" i="4" l="1"/>
  <c r="U67" i="4"/>
  <c r="T82" i="4"/>
  <c r="T81" i="4"/>
  <c r="T80" i="4"/>
  <c r="T79" i="4"/>
  <c r="T78" i="4"/>
  <c r="T77" i="4"/>
  <c r="T76" i="4"/>
  <c r="T75" i="4"/>
  <c r="T74" i="4"/>
  <c r="T73" i="4"/>
  <c r="T72" i="4"/>
  <c r="T71" i="4"/>
  <c r="T70" i="4"/>
  <c r="T69" i="4"/>
  <c r="T68" i="4"/>
  <c r="T67" i="4"/>
  <c r="T66" i="4"/>
  <c r="T65" i="4"/>
  <c r="T64" i="4"/>
  <c r="T63" i="4"/>
  <c r="T62" i="4"/>
  <c r="T61" i="4"/>
  <c r="T60" i="4"/>
  <c r="T59" i="4"/>
  <c r="T58" i="4"/>
  <c r="T57" i="4"/>
  <c r="T56" i="4"/>
  <c r="T55" i="4"/>
  <c r="T54" i="4"/>
  <c r="T53" i="4"/>
  <c r="T52" i="4"/>
  <c r="T51" i="4"/>
  <c r="T50" i="4"/>
  <c r="T49" i="4"/>
  <c r="T48" i="4"/>
  <c r="T47" i="4"/>
  <c r="T46" i="4"/>
  <c r="T45" i="4"/>
  <c r="T44" i="4"/>
  <c r="T4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D650" i="8"/>
  <c r="D643" i="8"/>
  <c r="E1090" i="8"/>
  <c r="E1082" i="8"/>
  <c r="E1074" i="8"/>
  <c r="F1066" i="8"/>
  <c r="C25" i="8" l="1"/>
  <c r="L62" i="12" l="1"/>
  <c r="C1034" i="8"/>
  <c r="C1052" i="8"/>
  <c r="C1050" i="8"/>
  <c r="C1053" i="8"/>
  <c r="C1051" i="8"/>
  <c r="C1049" i="8"/>
  <c r="C1045" i="8"/>
  <c r="C1044" i="8"/>
  <c r="C1043" i="8"/>
  <c r="C1042" i="8"/>
  <c r="C1041" i="8"/>
  <c r="C1036" i="8"/>
  <c r="C1033" i="8"/>
  <c r="C1037" i="8"/>
  <c r="C1035" i="8"/>
  <c r="C1029" i="8"/>
  <c r="C1028" i="8"/>
  <c r="C1026" i="8"/>
  <c r="C1027" i="8"/>
  <c r="C1025" i="8"/>
  <c r="L59" i="12" l="1"/>
  <c r="L55" i="12"/>
  <c r="E981" i="8"/>
  <c r="D936" i="8"/>
  <c r="E971" i="8" s="1"/>
  <c r="G971" i="8" s="1"/>
  <c r="L51" i="12"/>
  <c r="E939" i="8"/>
  <c r="G939" i="8" s="1"/>
  <c r="G953" i="8"/>
  <c r="G954" i="8"/>
  <c r="G955" i="8"/>
  <c r="G941" i="8"/>
  <c r="G942" i="8"/>
  <c r="G943" i="8"/>
  <c r="G944" i="8"/>
  <c r="G945" i="8"/>
  <c r="E936" i="8"/>
  <c r="E972" i="8" s="1"/>
  <c r="G972" i="8" s="1"/>
  <c r="G949" i="8"/>
  <c r="C936" i="8"/>
  <c r="E950" i="8" s="1"/>
  <c r="G950" i="8" s="1"/>
  <c r="F936" i="8"/>
  <c r="E948" i="8" s="1"/>
  <c r="G948" i="8" s="1"/>
  <c r="G975" i="8"/>
  <c r="G974" i="8"/>
  <c r="G970" i="8"/>
  <c r="G969" i="8"/>
  <c r="G965" i="8"/>
  <c r="G964" i="8"/>
  <c r="G960" i="8"/>
  <c r="G959" i="8"/>
  <c r="J1002" i="8" l="1"/>
  <c r="J1003" i="8" s="1"/>
  <c r="E952" i="8"/>
  <c r="G952" i="8" s="1"/>
  <c r="E940" i="8"/>
  <c r="G940" i="8" s="1"/>
  <c r="E962" i="8"/>
  <c r="G962" i="8" s="1"/>
  <c r="E951" i="8"/>
  <c r="G951" i="8" s="1"/>
  <c r="E961" i="8"/>
  <c r="G961" i="8" s="1"/>
  <c r="E938" i="8"/>
  <c r="G938" i="8" s="1"/>
  <c r="E968" i="8"/>
  <c r="G968" i="8" s="1"/>
  <c r="E958" i="8"/>
  <c r="G958" i="8" s="1"/>
  <c r="C930" i="8"/>
  <c r="C929" i="8"/>
  <c r="C920" i="8"/>
  <c r="C919" i="8"/>
  <c r="C909" i="8"/>
  <c r="C910" i="8"/>
  <c r="C899" i="8"/>
  <c r="C900" i="8"/>
  <c r="L49" i="12"/>
  <c r="E946" i="8" l="1"/>
  <c r="J939" i="8" s="1"/>
  <c r="K939" i="8" s="1"/>
  <c r="G956" i="8"/>
  <c r="E956" i="8"/>
  <c r="J942" i="8" s="1"/>
  <c r="K942" i="8" s="1"/>
  <c r="G946" i="8"/>
  <c r="AD10" i="3"/>
  <c r="AD7" i="3" s="1"/>
  <c r="AD6" i="3" s="1"/>
  <c r="S30" i="1" l="1"/>
  <c r="D236" i="7"/>
  <c r="M51" i="12" s="1"/>
  <c r="D114" i="7"/>
  <c r="D30" i="12" s="1"/>
  <c r="D109" i="7"/>
  <c r="D29" i="12" s="1"/>
  <c r="D41" i="12"/>
  <c r="L41" i="12" s="1"/>
  <c r="D169" i="7"/>
  <c r="D61" i="12" s="1"/>
  <c r="D164" i="7"/>
  <c r="O61" i="12" l="1"/>
  <c r="N61" i="12"/>
  <c r="M61" i="12"/>
  <c r="L61" i="12"/>
  <c r="K61" i="12"/>
  <c r="V40" i="4"/>
  <c r="V39" i="4"/>
  <c r="V41" i="4" l="1"/>
  <c r="V42" i="4" s="1"/>
  <c r="L48" i="12"/>
  <c r="D880" i="8"/>
  <c r="G882" i="8" s="1"/>
  <c r="D869" i="8"/>
  <c r="G871" i="8" s="1"/>
  <c r="D866" i="8"/>
  <c r="D858" i="8"/>
  <c r="G860" i="8" s="1"/>
  <c r="D855" i="8"/>
  <c r="D857" i="8"/>
  <c r="D852" i="8"/>
  <c r="G852" i="8" s="1"/>
  <c r="D846" i="8"/>
  <c r="G846" i="8" s="1"/>
  <c r="G849" i="8"/>
  <c r="L47" i="12"/>
  <c r="F835" i="8"/>
  <c r="G835" i="8" s="1"/>
  <c r="F829" i="8"/>
  <c r="G829" i="8" s="1"/>
  <c r="F823" i="8"/>
  <c r="G823" i="8" s="1"/>
  <c r="F819" i="8"/>
  <c r="G819" i="8" s="1"/>
  <c r="G857" i="8" l="1"/>
  <c r="G853" i="8"/>
  <c r="F817" i="8"/>
  <c r="G817" i="8" s="1"/>
  <c r="F811" i="8"/>
  <c r="F815" i="8" s="1"/>
  <c r="D605" i="8"/>
  <c r="C427" i="8"/>
  <c r="C417" i="8"/>
  <c r="D383" i="8"/>
  <c r="C351" i="8"/>
  <c r="C344" i="8"/>
  <c r="C337" i="8"/>
  <c r="C330" i="8"/>
  <c r="D318" i="8"/>
  <c r="D309" i="8"/>
  <c r="D300" i="8"/>
  <c r="D281" i="8"/>
  <c r="D274" i="8"/>
  <c r="D251" i="8"/>
  <c r="D245" i="8"/>
  <c r="C225" i="8"/>
  <c r="C216" i="8"/>
  <c r="C186" i="8"/>
  <c r="C177" i="8"/>
  <c r="D145" i="8"/>
  <c r="D138" i="8"/>
  <c r="G811" i="8" l="1"/>
  <c r="G815" i="8" s="1"/>
  <c r="L46" i="12" l="1"/>
  <c r="E803" i="8"/>
  <c r="G55" i="12"/>
  <c r="C801" i="8"/>
  <c r="C799" i="8"/>
  <c r="C795" i="8"/>
  <c r="C793" i="8"/>
  <c r="C787" i="8"/>
  <c r="C783" i="8"/>
  <c r="C789" i="8"/>
  <c r="C785" i="8"/>
  <c r="C779" i="8"/>
  <c r="C777" i="8"/>
  <c r="C769" i="8"/>
  <c r="D767" i="8"/>
  <c r="D759" i="8"/>
  <c r="F750" i="8"/>
  <c r="G750" i="8" s="1"/>
  <c r="D204" i="7"/>
  <c r="E771" i="8"/>
  <c r="E763" i="8"/>
  <c r="E755" i="8"/>
  <c r="E747" i="8"/>
  <c r="D743" i="8"/>
  <c r="F742" i="8"/>
  <c r="G742" i="8" s="1"/>
  <c r="F779" i="8" l="1"/>
  <c r="G779" i="8" s="1"/>
  <c r="F785" i="8"/>
  <c r="G785" i="8" s="1"/>
  <c r="E799" i="8"/>
  <c r="F799" i="8" s="1"/>
  <c r="F787" i="8"/>
  <c r="G787" i="8" s="1"/>
  <c r="F793" i="8"/>
  <c r="F777" i="8"/>
  <c r="F789" i="8"/>
  <c r="G789" i="8" s="1"/>
  <c r="F783" i="8"/>
  <c r="G783" i="8" s="1"/>
  <c r="E801" i="8"/>
  <c r="F801" i="8" s="1"/>
  <c r="F795" i="8"/>
  <c r="L44" i="12"/>
  <c r="D724" i="8"/>
  <c r="D719" i="8"/>
  <c r="G719" i="8" s="1"/>
  <c r="F781" i="8" l="1"/>
  <c r="F797" i="8"/>
  <c r="F791" i="8"/>
  <c r="G791" i="8"/>
  <c r="F804" i="8"/>
  <c r="G795" i="8"/>
  <c r="R7" i="3"/>
  <c r="R6" i="3" l="1"/>
  <c r="H40" i="1" s="1"/>
  <c r="E64" i="8"/>
  <c r="F61" i="8"/>
  <c r="F52" i="8"/>
  <c r="E52" i="8"/>
  <c r="E61" i="8" l="1"/>
  <c r="D43" i="12" l="1"/>
  <c r="L43" i="12" s="1"/>
  <c r="K8" i="1"/>
  <c r="D1400" i="8" s="1"/>
  <c r="D861" i="8" l="1"/>
  <c r="G863" i="8" s="1"/>
  <c r="G864" i="8" s="1"/>
  <c r="D872" i="8"/>
  <c r="G874" i="8" s="1"/>
  <c r="D883" i="8"/>
  <c r="G885" i="8" s="1"/>
  <c r="G868" i="8"/>
  <c r="G879" i="8"/>
  <c r="H66" i="5"/>
  <c r="I66" i="5" s="1"/>
  <c r="J66" i="5" s="1"/>
  <c r="K66" i="5" s="1"/>
  <c r="L66" i="5" s="1"/>
  <c r="M66" i="5" s="1"/>
  <c r="N66" i="5" s="1"/>
  <c r="O66" i="5" s="1"/>
  <c r="D65" i="5"/>
  <c r="E65" i="5" s="1"/>
  <c r="F65" i="5" s="1"/>
  <c r="G65" i="5" s="1"/>
  <c r="H65" i="5" s="1"/>
  <c r="I65" i="5" s="1"/>
  <c r="J65" i="5" s="1"/>
  <c r="K65" i="5" s="1"/>
  <c r="L65" i="5" s="1"/>
  <c r="M65" i="5" s="1"/>
  <c r="N65" i="5" s="1"/>
  <c r="O65" i="5" s="1"/>
  <c r="D221" i="7" l="1"/>
  <c r="M48" i="12" s="1"/>
  <c r="G875" i="8"/>
  <c r="D222" i="7" s="1"/>
  <c r="N48" i="12" s="1"/>
  <c r="G886" i="8"/>
  <c r="D223" i="7" s="1"/>
  <c r="D42" i="12"/>
  <c r="D686" i="8"/>
  <c r="F686" i="8" s="1"/>
  <c r="D685" i="8"/>
  <c r="F685" i="8" s="1"/>
  <c r="D684" i="8"/>
  <c r="F684" i="8" s="1"/>
  <c r="D683" i="8"/>
  <c r="F683" i="8" s="1"/>
  <c r="D682" i="8"/>
  <c r="F682" i="8" s="1"/>
  <c r="D681" i="8"/>
  <c r="F681" i="8" s="1"/>
  <c r="D678" i="8"/>
  <c r="F678" i="8" s="1"/>
  <c r="D677" i="8"/>
  <c r="F677" i="8" s="1"/>
  <c r="D676" i="8"/>
  <c r="F676" i="8" s="1"/>
  <c r="D675" i="8"/>
  <c r="F675" i="8" s="1"/>
  <c r="D674" i="8"/>
  <c r="F674" i="8" s="1"/>
  <c r="D673" i="8"/>
  <c r="F673" i="8" s="1"/>
  <c r="D670" i="8"/>
  <c r="F670" i="8" s="1"/>
  <c r="D669" i="8"/>
  <c r="F669" i="8" s="1"/>
  <c r="D668" i="8"/>
  <c r="F668" i="8" s="1"/>
  <c r="D667" i="8"/>
  <c r="F667" i="8" s="1"/>
  <c r="D666" i="8"/>
  <c r="F666" i="8" s="1"/>
  <c r="D665" i="8"/>
  <c r="F665" i="8" s="1"/>
  <c r="D662" i="8"/>
  <c r="F662" i="8" s="1"/>
  <c r="D661" i="8"/>
  <c r="F661" i="8" s="1"/>
  <c r="D660" i="8"/>
  <c r="F660" i="8" s="1"/>
  <c r="D659" i="8"/>
  <c r="F659" i="8" s="1"/>
  <c r="D658" i="8"/>
  <c r="F658" i="8" s="1"/>
  <c r="D657" i="8"/>
  <c r="F657" i="8" s="1"/>
  <c r="D40" i="12"/>
  <c r="Q10" i="3"/>
  <c r="E687" i="8"/>
  <c r="E679" i="8"/>
  <c r="E671" i="8"/>
  <c r="E663" i="8"/>
  <c r="C649" i="8"/>
  <c r="C648" i="8"/>
  <c r="D647" i="8"/>
  <c r="C641" i="8"/>
  <c r="D640" i="8"/>
  <c r="D633" i="8"/>
  <c r="D626" i="8"/>
  <c r="J1094" i="8" l="1"/>
  <c r="E1141" i="8" s="1"/>
  <c r="O48" i="12"/>
  <c r="K48" i="12"/>
  <c r="L40" i="12"/>
  <c r="G40" i="12" s="1"/>
  <c r="L42" i="12"/>
  <c r="L19" i="12"/>
  <c r="L30" i="12"/>
  <c r="G30" i="12" s="1"/>
  <c r="E651" i="8"/>
  <c r="E644" i="8"/>
  <c r="E637" i="8"/>
  <c r="E630" i="8"/>
  <c r="E619" i="8"/>
  <c r="E611" i="8"/>
  <c r="E603" i="8"/>
  <c r="E595" i="8"/>
  <c r="C618" i="8"/>
  <c r="C617" i="8"/>
  <c r="D615" i="8"/>
  <c r="C607" i="8"/>
  <c r="C610" i="8"/>
  <c r="C609" i="8"/>
  <c r="D608" i="8"/>
  <c r="D607" i="8"/>
  <c r="D606" i="8"/>
  <c r="C602" i="8"/>
  <c r="D599" i="8"/>
  <c r="D591" i="8"/>
  <c r="C12" i="3"/>
  <c r="K146" i="4"/>
  <c r="K145" i="4" s="1"/>
  <c r="D614" i="8"/>
  <c r="F590" i="8"/>
  <c r="G590" i="8" s="1"/>
  <c r="D571" i="8"/>
  <c r="E582" i="8" l="1"/>
  <c r="E583" i="8" s="1"/>
  <c r="E573" i="8"/>
  <c r="E574" i="8" s="1"/>
  <c r="E576" i="8"/>
  <c r="E577" i="8" s="1"/>
  <c r="E1125" i="8"/>
  <c r="E1157" i="8"/>
  <c r="E579" i="8"/>
  <c r="E580" i="8" s="1"/>
  <c r="G41" i="12"/>
  <c r="D149" i="7"/>
  <c r="D37" i="12" s="1"/>
  <c r="L37" i="12" s="1"/>
  <c r="G37" i="12" s="1"/>
  <c r="E510" i="8"/>
  <c r="E482" i="8"/>
  <c r="D25" i="2"/>
  <c r="D26" i="2" s="1"/>
  <c r="E25" i="2"/>
  <c r="E26" i="2" s="1"/>
  <c r="E27" i="2" s="1"/>
  <c r="E28" i="2" s="1"/>
  <c r="E29" i="2" s="1"/>
  <c r="E30" i="2" s="1"/>
  <c r="E31" i="2" s="1"/>
  <c r="E32" i="2" s="1"/>
  <c r="E33" i="2" s="1"/>
  <c r="E34" i="2" s="1"/>
  <c r="E35" i="2" s="1"/>
  <c r="E36" i="2" s="1"/>
  <c r="E37" i="2" s="1"/>
  <c r="E38" i="2" s="1"/>
  <c r="E39" i="2" s="1"/>
  <c r="E40" i="2" s="1"/>
  <c r="E41" i="2" s="1"/>
  <c r="F24" i="2"/>
  <c r="C511" i="8"/>
  <c r="E511" i="8" s="1"/>
  <c r="N6" i="2"/>
  <c r="G673" i="8" s="1"/>
  <c r="D513" i="8"/>
  <c r="E481" i="8"/>
  <c r="C515" i="8"/>
  <c r="E515" i="8" s="1"/>
  <c r="C516" i="8"/>
  <c r="C488" i="8"/>
  <c r="E488" i="8" s="1"/>
  <c r="C502" i="8"/>
  <c r="E502" i="8" s="1"/>
  <c r="C503" i="8"/>
  <c r="C506" i="8"/>
  <c r="E506" i="8" s="1"/>
  <c r="C507" i="8"/>
  <c r="E507" i="8" s="1"/>
  <c r="E497" i="8"/>
  <c r="D104" i="7"/>
  <c r="D28" i="12" s="1"/>
  <c r="P106" i="4"/>
  <c r="P107" i="4" s="1"/>
  <c r="C524" i="8" s="1"/>
  <c r="F524" i="8" s="1"/>
  <c r="G524" i="8" s="1"/>
  <c r="C536" i="8"/>
  <c r="F536" i="8" s="1"/>
  <c r="G536" i="8" s="1"/>
  <c r="T10" i="3"/>
  <c r="T32" i="3" s="1"/>
  <c r="D556" i="8"/>
  <c r="G9" i="4"/>
  <c r="C558" i="8"/>
  <c r="F558" i="8" s="1"/>
  <c r="G558" i="8" s="1"/>
  <c r="C559" i="8"/>
  <c r="F559" i="8" s="1"/>
  <c r="G559" i="8" s="1"/>
  <c r="F562" i="8"/>
  <c r="G562" i="8" s="1"/>
  <c r="C563" i="8"/>
  <c r="F563" i="8" s="1"/>
  <c r="G563" i="8" s="1"/>
  <c r="D545" i="8"/>
  <c r="C547" i="8"/>
  <c r="F547" i="8" s="1"/>
  <c r="G547" i="8" s="1"/>
  <c r="C548" i="8"/>
  <c r="F548" i="8" s="1"/>
  <c r="G548" i="8" s="1"/>
  <c r="L6" i="2"/>
  <c r="T47" i="3" s="1"/>
  <c r="Q93" i="4"/>
  <c r="R93" i="4" s="1"/>
  <c r="P98" i="4"/>
  <c r="Q98" i="4" s="1"/>
  <c r="R98" i="4" s="1"/>
  <c r="Q99" i="4"/>
  <c r="R99" i="4" s="1"/>
  <c r="V16" i="3"/>
  <c r="P94" i="4"/>
  <c r="R94" i="4" s="1"/>
  <c r="E566" i="8"/>
  <c r="E532" i="8"/>
  <c r="E351" i="8"/>
  <c r="E329" i="8"/>
  <c r="AI10" i="3"/>
  <c r="AH10" i="3"/>
  <c r="E543" i="8"/>
  <c r="E554" i="8"/>
  <c r="C481" i="8"/>
  <c r="G65" i="12"/>
  <c r="J63" i="12"/>
  <c r="I63" i="12"/>
  <c r="H63" i="12"/>
  <c r="G63" i="12"/>
  <c r="F63" i="12"/>
  <c r="J61" i="12"/>
  <c r="I61" i="12"/>
  <c r="H61" i="12"/>
  <c r="G61" i="12"/>
  <c r="F61" i="12"/>
  <c r="E363" i="8"/>
  <c r="F363" i="8" s="1"/>
  <c r="G363" i="8" s="1"/>
  <c r="E331" i="8"/>
  <c r="F331" i="8" s="1"/>
  <c r="G331" i="8" s="1"/>
  <c r="O10" i="3"/>
  <c r="E475" i="8"/>
  <c r="C474" i="8"/>
  <c r="E474" i="8" s="1"/>
  <c r="E473" i="8"/>
  <c r="E472" i="8"/>
  <c r="E471" i="8"/>
  <c r="C460" i="8"/>
  <c r="C470" i="8"/>
  <c r="E470" i="8" s="1"/>
  <c r="E469" i="8"/>
  <c r="E468" i="8"/>
  <c r="E465" i="8"/>
  <c r="F465" i="8" s="1"/>
  <c r="C464" i="8"/>
  <c r="E464" i="8" s="1"/>
  <c r="E463" i="8"/>
  <c r="E462" i="8"/>
  <c r="E452" i="8"/>
  <c r="E459" i="8"/>
  <c r="E458" i="8"/>
  <c r="C455" i="8"/>
  <c r="E455" i="8" s="1"/>
  <c r="F455" i="8" s="1"/>
  <c r="C454" i="8"/>
  <c r="D454" i="8" s="1"/>
  <c r="E454" i="8" s="1"/>
  <c r="F454" i="8" s="1"/>
  <c r="G454" i="8" s="1"/>
  <c r="C448" i="8"/>
  <c r="E448" i="8" s="1"/>
  <c r="C438" i="8"/>
  <c r="E438" i="8" s="1"/>
  <c r="E453" i="8"/>
  <c r="C443" i="8"/>
  <c r="E443" i="8" s="1"/>
  <c r="E450" i="8"/>
  <c r="D451" i="8"/>
  <c r="E436" i="8"/>
  <c r="E442" i="8" s="1"/>
  <c r="E449" i="8"/>
  <c r="E445" i="8"/>
  <c r="F445" i="8" s="1"/>
  <c r="E441" i="8"/>
  <c r="E440" i="8"/>
  <c r="C436" i="8"/>
  <c r="E461" i="8"/>
  <c r="D199" i="7"/>
  <c r="E444" i="8"/>
  <c r="F444" i="8" s="1"/>
  <c r="G444" i="8" s="1"/>
  <c r="C430" i="8"/>
  <c r="C420" i="8"/>
  <c r="E420" i="8" s="1"/>
  <c r="C419" i="8"/>
  <c r="E419" i="8" s="1"/>
  <c r="E439" i="8"/>
  <c r="E417" i="8"/>
  <c r="C415" i="8"/>
  <c r="E415" i="8" s="1"/>
  <c r="C414" i="8"/>
  <c r="E414" i="8" s="1"/>
  <c r="C423" i="8"/>
  <c r="E423" i="8" s="1"/>
  <c r="F423" i="8" s="1"/>
  <c r="G423" i="8" s="1"/>
  <c r="C424" i="8"/>
  <c r="E424" i="8" s="1"/>
  <c r="C425" i="8"/>
  <c r="E425" i="8" s="1"/>
  <c r="C426" i="8"/>
  <c r="E426" i="8" s="1"/>
  <c r="E427" i="8"/>
  <c r="E428" i="8"/>
  <c r="C429" i="8"/>
  <c r="E429" i="8" s="1"/>
  <c r="C413" i="8"/>
  <c r="E413" i="8" s="1"/>
  <c r="F413" i="8" s="1"/>
  <c r="C404" i="8"/>
  <c r="E404" i="8" s="1"/>
  <c r="C406" i="8"/>
  <c r="E406" i="8" s="1"/>
  <c r="E408" i="8"/>
  <c r="E398" i="8"/>
  <c r="C394" i="8"/>
  <c r="E394" i="8" s="1"/>
  <c r="E418" i="8"/>
  <c r="C416" i="8"/>
  <c r="E416" i="8" s="1"/>
  <c r="C409" i="8"/>
  <c r="E409" i="8" s="1"/>
  <c r="E407" i="8"/>
  <c r="F407" i="8" s="1"/>
  <c r="G407" i="8" s="1"/>
  <c r="E403" i="8"/>
  <c r="F403" i="8" s="1"/>
  <c r="G403" i="8" s="1"/>
  <c r="E399" i="8"/>
  <c r="F399" i="8" s="1"/>
  <c r="G399" i="8" s="1"/>
  <c r="E397" i="8"/>
  <c r="F397" i="8" s="1"/>
  <c r="G397" i="8" s="1"/>
  <c r="E396" i="8"/>
  <c r="E395" i="8"/>
  <c r="F395" i="8" s="1"/>
  <c r="G395" i="8" s="1"/>
  <c r="E393" i="8"/>
  <c r="F393" i="8" s="1"/>
  <c r="G393" i="8" s="1"/>
  <c r="E405" i="8"/>
  <c r="E387" i="8"/>
  <c r="F387" i="8" s="1"/>
  <c r="G387" i="8" s="1"/>
  <c r="E380" i="8"/>
  <c r="F380" i="8" s="1"/>
  <c r="G380" i="8" s="1"/>
  <c r="E383" i="8"/>
  <c r="E376" i="8"/>
  <c r="D384" i="8"/>
  <c r="E384" i="8" s="1"/>
  <c r="D377" i="8"/>
  <c r="E377" i="8" s="1"/>
  <c r="E370" i="8"/>
  <c r="E369" i="8"/>
  <c r="E362" i="8"/>
  <c r="C385" i="8"/>
  <c r="E385" i="8" s="1"/>
  <c r="E378" i="8"/>
  <c r="E371" i="8"/>
  <c r="E364" i="8"/>
  <c r="C355" i="8"/>
  <c r="E355" i="8" s="1"/>
  <c r="F355" i="8" s="1"/>
  <c r="G355" i="8" s="1"/>
  <c r="C348" i="8"/>
  <c r="E348" i="8" s="1"/>
  <c r="F348" i="8" s="1"/>
  <c r="G348" i="8" s="1"/>
  <c r="C346" i="8"/>
  <c r="E346" i="8" s="1"/>
  <c r="D345" i="8"/>
  <c r="C353" i="8"/>
  <c r="E353" i="8" s="1"/>
  <c r="D352" i="8"/>
  <c r="E339" i="8"/>
  <c r="E332" i="8"/>
  <c r="D159" i="7"/>
  <c r="D39" i="12" s="1"/>
  <c r="D154" i="7"/>
  <c r="D38" i="12" s="1"/>
  <c r="L38" i="12" s="1"/>
  <c r="G38" i="12" s="1"/>
  <c r="D144" i="7"/>
  <c r="D36" i="12" s="1"/>
  <c r="L36" i="12" s="1"/>
  <c r="G36" i="12" s="1"/>
  <c r="D139" i="7"/>
  <c r="D35" i="12" s="1"/>
  <c r="D134" i="7"/>
  <c r="D34" i="12" s="1"/>
  <c r="L34" i="12" s="1"/>
  <c r="G34" i="12" s="1"/>
  <c r="D129" i="7"/>
  <c r="D33" i="12" s="1"/>
  <c r="L33" i="12" s="1"/>
  <c r="G33" i="12" s="1"/>
  <c r="D124" i="7"/>
  <c r="D32" i="12" s="1"/>
  <c r="L32" i="12" s="1"/>
  <c r="G32" i="12" s="1"/>
  <c r="D119" i="7"/>
  <c r="D31" i="12" s="1"/>
  <c r="L31" i="12" s="1"/>
  <c r="G31" i="12" s="1"/>
  <c r="D321" i="8"/>
  <c r="E321" i="8" s="1"/>
  <c r="E303" i="8"/>
  <c r="D27" i="12"/>
  <c r="L27" i="12" s="1"/>
  <c r="G27" i="12" s="1"/>
  <c r="D26" i="12"/>
  <c r="L26" i="12" s="1"/>
  <c r="G26" i="12" s="1"/>
  <c r="L25" i="12"/>
  <c r="G25" i="12" s="1"/>
  <c r="L24" i="12"/>
  <c r="G24" i="12" s="1"/>
  <c r="L23" i="12"/>
  <c r="G23" i="12" s="1"/>
  <c r="L22" i="12"/>
  <c r="G22" i="12" s="1"/>
  <c r="L21" i="12"/>
  <c r="G21" i="12" s="1"/>
  <c r="L18" i="12"/>
  <c r="G18" i="12" s="1"/>
  <c r="L17" i="12"/>
  <c r="G17" i="12" s="1"/>
  <c r="L16" i="12"/>
  <c r="G16" i="12" s="1"/>
  <c r="L15" i="12"/>
  <c r="G15" i="12" s="1"/>
  <c r="L14" i="12"/>
  <c r="G14" i="12" s="1"/>
  <c r="L13" i="12"/>
  <c r="G13" i="12" s="1"/>
  <c r="L12" i="12"/>
  <c r="G12" i="12" s="1"/>
  <c r="L11" i="12"/>
  <c r="G11" i="12" s="1"/>
  <c r="G59" i="12"/>
  <c r="G58" i="12"/>
  <c r="G57" i="12"/>
  <c r="G56" i="12"/>
  <c r="J54" i="12"/>
  <c r="I54" i="12"/>
  <c r="H54" i="12"/>
  <c r="G54" i="12"/>
  <c r="J53" i="12"/>
  <c r="I53" i="12"/>
  <c r="H53" i="12"/>
  <c r="G53" i="12"/>
  <c r="J52" i="12"/>
  <c r="I52" i="12"/>
  <c r="H52" i="12"/>
  <c r="G52" i="12"/>
  <c r="H51" i="12"/>
  <c r="G51" i="12"/>
  <c r="J50" i="12"/>
  <c r="I50" i="12"/>
  <c r="H50" i="12"/>
  <c r="G50" i="12"/>
  <c r="G49" i="12"/>
  <c r="J48" i="12"/>
  <c r="I48" i="12"/>
  <c r="H48" i="12"/>
  <c r="G48" i="12"/>
  <c r="G47" i="12"/>
  <c r="G46" i="12"/>
  <c r="G44" i="12"/>
  <c r="G43" i="12"/>
  <c r="G42" i="12"/>
  <c r="L10" i="12"/>
  <c r="G10" i="12" s="1"/>
  <c r="L9" i="12"/>
  <c r="G9" i="12" s="1"/>
  <c r="L8" i="12"/>
  <c r="G8" i="12" s="1"/>
  <c r="C322" i="8"/>
  <c r="E322" i="8" s="1"/>
  <c r="F322" i="8" s="1"/>
  <c r="G322" i="8" s="1"/>
  <c r="C320" i="8"/>
  <c r="E320" i="8" s="1"/>
  <c r="E318" i="8"/>
  <c r="E324" i="8"/>
  <c r="E323" i="8"/>
  <c r="F323" i="8" s="1"/>
  <c r="G323" i="8" s="1"/>
  <c r="D319" i="8"/>
  <c r="E315" i="8"/>
  <c r="D310" i="8"/>
  <c r="E310" i="8" s="1"/>
  <c r="E301" i="8"/>
  <c r="E291" i="8"/>
  <c r="E314" i="8"/>
  <c r="F314" i="8" s="1"/>
  <c r="G314" i="8" s="1"/>
  <c r="E309" i="8"/>
  <c r="E305" i="8"/>
  <c r="F305" i="8" s="1"/>
  <c r="G305" i="8" s="1"/>
  <c r="E296" i="8"/>
  <c r="F296" i="8" s="1"/>
  <c r="G296" i="8" s="1"/>
  <c r="E292" i="8"/>
  <c r="F292" i="8" s="1"/>
  <c r="G292" i="8" s="1"/>
  <c r="E294" i="8"/>
  <c r="E312" i="8"/>
  <c r="C311" i="8"/>
  <c r="E302" i="8"/>
  <c r="E300" i="8"/>
  <c r="E293" i="8"/>
  <c r="E217" i="8"/>
  <c r="E208" i="8"/>
  <c r="D205" i="8"/>
  <c r="E205" i="8" s="1"/>
  <c r="C227" i="8"/>
  <c r="E227" i="8" s="1"/>
  <c r="E225" i="8"/>
  <c r="C224" i="8"/>
  <c r="E224" i="8" s="1"/>
  <c r="C223" i="8"/>
  <c r="E223" i="8" s="1"/>
  <c r="C222" i="8"/>
  <c r="E222" i="8" s="1"/>
  <c r="C221" i="8"/>
  <c r="E221" i="8" s="1"/>
  <c r="E218" i="8"/>
  <c r="E216" i="8"/>
  <c r="C215" i="8"/>
  <c r="E215" i="8" s="1"/>
  <c r="C214" i="8"/>
  <c r="E214" i="8" s="1"/>
  <c r="E213" i="8"/>
  <c r="E212" i="8"/>
  <c r="F212" i="8" s="1"/>
  <c r="G212" i="8" s="1"/>
  <c r="C209" i="8"/>
  <c r="E209" i="8" s="1"/>
  <c r="E207" i="8"/>
  <c r="F207" i="8" s="1"/>
  <c r="G207" i="8" s="1"/>
  <c r="C206" i="8"/>
  <c r="E206" i="8" s="1"/>
  <c r="C204" i="8"/>
  <c r="E203" i="8"/>
  <c r="F203" i="8" s="1"/>
  <c r="G203" i="8" s="1"/>
  <c r="E200" i="8"/>
  <c r="F200" i="8" s="1"/>
  <c r="G200" i="8" s="1"/>
  <c r="E199" i="8"/>
  <c r="F199" i="8" s="1"/>
  <c r="G199" i="8" s="1"/>
  <c r="E198" i="8"/>
  <c r="F198" i="8" s="1"/>
  <c r="G198" i="8" s="1"/>
  <c r="E197" i="8"/>
  <c r="E196" i="8"/>
  <c r="F196" i="8" s="1"/>
  <c r="G196" i="8" s="1"/>
  <c r="E195" i="8"/>
  <c r="F195" i="8" s="1"/>
  <c r="G195" i="8" s="1"/>
  <c r="E194" i="8"/>
  <c r="F194" i="8" s="1"/>
  <c r="G194" i="8" s="1"/>
  <c r="E284" i="8"/>
  <c r="E277" i="8"/>
  <c r="E274" i="8"/>
  <c r="E270" i="8"/>
  <c r="E268" i="8"/>
  <c r="E263" i="8"/>
  <c r="E260" i="8"/>
  <c r="D269" i="8"/>
  <c r="C283" i="8"/>
  <c r="E283" i="8" s="1"/>
  <c r="C276" i="8"/>
  <c r="E276" i="8" s="1"/>
  <c r="E281" i="8"/>
  <c r="C285" i="8"/>
  <c r="E285" i="8" s="1"/>
  <c r="F285" i="8" s="1"/>
  <c r="G285" i="8" s="1"/>
  <c r="D282" i="8"/>
  <c r="E282" i="8" s="1"/>
  <c r="C278" i="8"/>
  <c r="E278" i="8" s="1"/>
  <c r="F278" i="8" s="1"/>
  <c r="G278" i="8" s="1"/>
  <c r="D275" i="8"/>
  <c r="E275" i="8" s="1"/>
  <c r="E269" i="8"/>
  <c r="E267" i="8"/>
  <c r="E262" i="8"/>
  <c r="E261" i="8"/>
  <c r="F261" i="8" s="1"/>
  <c r="G261" i="8" s="1"/>
  <c r="C254" i="8"/>
  <c r="E254" i="8" s="1"/>
  <c r="F254" i="8" s="1"/>
  <c r="G254" i="8" s="1"/>
  <c r="C248" i="8"/>
  <c r="E248" i="8" s="1"/>
  <c r="F248" i="8" s="1"/>
  <c r="G248" i="8" s="1"/>
  <c r="E253" i="8"/>
  <c r="D146" i="8"/>
  <c r="E146" i="8" s="1"/>
  <c r="D252" i="8"/>
  <c r="E232" i="8"/>
  <c r="E247" i="8"/>
  <c r="E241" i="8"/>
  <c r="D246" i="8"/>
  <c r="E235" i="8"/>
  <c r="E234" i="8"/>
  <c r="F234" i="8" s="1"/>
  <c r="G234" i="8" s="1"/>
  <c r="E182" i="8"/>
  <c r="E187" i="8"/>
  <c r="E186" i="8"/>
  <c r="C188" i="8"/>
  <c r="C170" i="8"/>
  <c r="E170" i="8" s="1"/>
  <c r="E161" i="8"/>
  <c r="F161" i="8" s="1"/>
  <c r="G161" i="8" s="1"/>
  <c r="C185" i="8"/>
  <c r="E185" i="8" s="1"/>
  <c r="C184" i="8"/>
  <c r="E183" i="8"/>
  <c r="E177" i="8"/>
  <c r="C176" i="8"/>
  <c r="E176" i="8" s="1"/>
  <c r="C175" i="8"/>
  <c r="E175" i="8" s="1"/>
  <c r="M8" i="1"/>
  <c r="C9" i="8"/>
  <c r="E22" i="8"/>
  <c r="E23" i="8"/>
  <c r="E24" i="8"/>
  <c r="E25" i="8"/>
  <c r="E16" i="8"/>
  <c r="E21" i="8" s="1"/>
  <c r="E17" i="8"/>
  <c r="E18" i="8"/>
  <c r="E19" i="8"/>
  <c r="P6" i="2"/>
  <c r="E165" i="8"/>
  <c r="E173" i="8"/>
  <c r="F173" i="8" s="1"/>
  <c r="E164" i="8"/>
  <c r="E155" i="8"/>
  <c r="F155" i="8" s="1"/>
  <c r="G155" i="8" s="1"/>
  <c r="E169" i="8"/>
  <c r="D166" i="8"/>
  <c r="E166" i="8" s="1"/>
  <c r="C167" i="8"/>
  <c r="E167" i="8" s="1"/>
  <c r="E168" i="8"/>
  <c r="F168" i="8" s="1"/>
  <c r="G168" i="8" s="1"/>
  <c r="G160" i="8"/>
  <c r="E159" i="8"/>
  <c r="F159" i="8" s="1"/>
  <c r="G159" i="8" s="1"/>
  <c r="E158" i="8"/>
  <c r="E157" i="8"/>
  <c r="F157" i="8" s="1"/>
  <c r="G157" i="8" s="1"/>
  <c r="E156" i="8"/>
  <c r="F156" i="8" s="1"/>
  <c r="G156" i="8" s="1"/>
  <c r="E179" i="8"/>
  <c r="E174" i="8"/>
  <c r="E178" i="8"/>
  <c r="C149" i="8"/>
  <c r="E149" i="8" s="1"/>
  <c r="F149" i="8" s="1"/>
  <c r="G149" i="8" s="1"/>
  <c r="C148" i="8"/>
  <c r="E148" i="8" s="1"/>
  <c r="D147" i="8"/>
  <c r="E147" i="8" s="1"/>
  <c r="E145" i="8"/>
  <c r="C142" i="8"/>
  <c r="E142" i="8" s="1"/>
  <c r="F142" i="8" s="1"/>
  <c r="G142" i="8" s="1"/>
  <c r="C141" i="8"/>
  <c r="E141" i="8" s="1"/>
  <c r="C134" i="8"/>
  <c r="E134" i="8" s="1"/>
  <c r="D140" i="8"/>
  <c r="E140" i="8" s="1"/>
  <c r="D139" i="8"/>
  <c r="E139" i="8" s="1"/>
  <c r="E138" i="8"/>
  <c r="E135" i="8"/>
  <c r="F135" i="8" s="1"/>
  <c r="G135" i="8" s="1"/>
  <c r="E133" i="8"/>
  <c r="F133" i="8" s="1"/>
  <c r="E132" i="8"/>
  <c r="E131" i="8"/>
  <c r="E128" i="8"/>
  <c r="F128" i="8" s="1"/>
  <c r="G128" i="8" s="1"/>
  <c r="E126" i="8"/>
  <c r="F126" i="8" s="1"/>
  <c r="G126" i="8" s="1"/>
  <c r="E125" i="8"/>
  <c r="E124" i="8"/>
  <c r="E127" i="8"/>
  <c r="E118" i="8"/>
  <c r="C117" i="8"/>
  <c r="C116" i="8"/>
  <c r="E116" i="8" s="1"/>
  <c r="E115" i="8"/>
  <c r="E107" i="8"/>
  <c r="E114" i="8"/>
  <c r="E110" i="8"/>
  <c r="E109" i="8"/>
  <c r="C108" i="8"/>
  <c r="E108" i="8" s="1"/>
  <c r="E106" i="8"/>
  <c r="C98" i="8"/>
  <c r="E98" i="8" s="1"/>
  <c r="C90" i="8"/>
  <c r="E90" i="8" s="1"/>
  <c r="E102" i="8"/>
  <c r="C100" i="8"/>
  <c r="E94" i="8"/>
  <c r="C92" i="8"/>
  <c r="E92" i="8" s="1"/>
  <c r="D91" i="8"/>
  <c r="E88" i="8"/>
  <c r="G82" i="8"/>
  <c r="G81" i="8"/>
  <c r="G72" i="8"/>
  <c r="G63" i="8"/>
  <c r="D17" i="12"/>
  <c r="J56" i="8" s="1"/>
  <c r="K56" i="8" s="1"/>
  <c r="F54" i="12"/>
  <c r="F53" i="12"/>
  <c r="F52" i="12"/>
  <c r="F50" i="12"/>
  <c r="F48" i="12"/>
  <c r="D9" i="12"/>
  <c r="J23" i="8" s="1"/>
  <c r="F82" i="8"/>
  <c r="E82" i="8"/>
  <c r="F81" i="8"/>
  <c r="E81" i="8"/>
  <c r="D80" i="8"/>
  <c r="D79" i="8"/>
  <c r="C77" i="8"/>
  <c r="G77" i="8" s="1"/>
  <c r="G73" i="8"/>
  <c r="F73" i="8"/>
  <c r="E73" i="8"/>
  <c r="F72" i="8"/>
  <c r="E72" i="8"/>
  <c r="D71" i="8"/>
  <c r="F70" i="8"/>
  <c r="C68" i="8"/>
  <c r="G68" i="8" s="1"/>
  <c r="G50" i="8"/>
  <c r="G54" i="8"/>
  <c r="G55" i="8"/>
  <c r="F50" i="8"/>
  <c r="F54" i="8"/>
  <c r="F55" i="8"/>
  <c r="E50" i="8"/>
  <c r="E54" i="8"/>
  <c r="E55" i="8"/>
  <c r="G64" i="8"/>
  <c r="F64" i="8"/>
  <c r="F63" i="8"/>
  <c r="E63" i="8"/>
  <c r="G59" i="8"/>
  <c r="F59" i="8"/>
  <c r="E59" i="8"/>
  <c r="E26" i="8"/>
  <c r="D26" i="8"/>
  <c r="D19" i="8"/>
  <c r="C42" i="8"/>
  <c r="D42" i="8" s="1"/>
  <c r="C34" i="8"/>
  <c r="E34" i="8" s="1"/>
  <c r="E40" i="8"/>
  <c r="E39" i="8"/>
  <c r="E38" i="8"/>
  <c r="E32" i="8"/>
  <c r="E31" i="8"/>
  <c r="E30" i="8"/>
  <c r="D39" i="8"/>
  <c r="D38" i="8"/>
  <c r="D31" i="8"/>
  <c r="D30" i="8"/>
  <c r="D24" i="8"/>
  <c r="D23" i="8"/>
  <c r="D28" i="8" s="1"/>
  <c r="D17" i="8"/>
  <c r="D40" i="8"/>
  <c r="D32" i="8"/>
  <c r="D25" i="8"/>
  <c r="D22" i="8"/>
  <c r="D18" i="8"/>
  <c r="D16" i="8"/>
  <c r="A28" i="7"/>
  <c r="C37" i="8"/>
  <c r="D37" i="8" s="1"/>
  <c r="C29" i="8"/>
  <c r="AC19" i="3"/>
  <c r="AC13" i="3"/>
  <c r="AC10" i="3"/>
  <c r="C52" i="5"/>
  <c r="C53" i="5"/>
  <c r="Z10" i="3"/>
  <c r="Y10" i="3"/>
  <c r="AG19" i="3" s="1"/>
  <c r="R6" i="2"/>
  <c r="I105" i="7"/>
  <c r="I104" i="7"/>
  <c r="E6" i="8"/>
  <c r="E11" i="8"/>
  <c r="E10" i="8"/>
  <c r="E8" i="8"/>
  <c r="E12" i="8"/>
  <c r="E9" i="8"/>
  <c r="E7" i="8"/>
  <c r="C12" i="8"/>
  <c r="C11" i="8"/>
  <c r="F39" i="7" s="1"/>
  <c r="D15" i="12" s="1"/>
  <c r="J29" i="8" s="1"/>
  <c r="C10" i="8"/>
  <c r="F34" i="7" s="1"/>
  <c r="D14" i="12" s="1"/>
  <c r="J28" i="8" s="1"/>
  <c r="C8" i="8"/>
  <c r="F24" i="7" s="1"/>
  <c r="D12" i="12" s="1"/>
  <c r="J26" i="8" s="1"/>
  <c r="C7" i="8"/>
  <c r="F19" i="7" s="1"/>
  <c r="D11" i="12" s="1"/>
  <c r="J25" i="8" s="1"/>
  <c r="C6" i="8"/>
  <c r="F14" i="7" s="1"/>
  <c r="D10" i="12" s="1"/>
  <c r="F3" i="7"/>
  <c r="J14" i="2"/>
  <c r="J12" i="2"/>
  <c r="B74" i="6"/>
  <c r="B75" i="6" s="1"/>
  <c r="B76" i="6" s="1"/>
  <c r="B77" i="6" s="1"/>
  <c r="B78" i="6" s="1"/>
  <c r="B79" i="6" s="1"/>
  <c r="B80" i="6" s="1"/>
  <c r="B81" i="6" s="1"/>
  <c r="B82" i="6" s="1"/>
  <c r="K51" i="4"/>
  <c r="X68" i="3"/>
  <c r="X64" i="3"/>
  <c r="K136" i="4"/>
  <c r="K135" i="4"/>
  <c r="K134" i="4"/>
  <c r="K139" i="4" s="1"/>
  <c r="W28" i="3"/>
  <c r="W48" i="3"/>
  <c r="W24" i="3"/>
  <c r="W44" i="3"/>
  <c r="B40" i="6"/>
  <c r="B41" i="6" s="1"/>
  <c r="B42" i="6" s="1"/>
  <c r="B43" i="6" s="1"/>
  <c r="B44" i="6" s="1"/>
  <c r="B45" i="6" s="1"/>
  <c r="B46" i="6" s="1"/>
  <c r="B47" i="6" s="1"/>
  <c r="B48" i="6" s="1"/>
  <c r="B49" i="6" s="1"/>
  <c r="B50" i="6" s="1"/>
  <c r="B51" i="6" s="1"/>
  <c r="B52" i="6" s="1"/>
  <c r="K60" i="4"/>
  <c r="K119" i="4" s="1"/>
  <c r="K120" i="4" s="1"/>
  <c r="K121" i="4" s="1"/>
  <c r="K122" i="4" s="1"/>
  <c r="K123" i="4" s="1"/>
  <c r="K124" i="4" s="1"/>
  <c r="V14" i="3"/>
  <c r="K96" i="4"/>
  <c r="P123" i="4"/>
  <c r="P124" i="4" s="1"/>
  <c r="P116" i="4"/>
  <c r="Q114" i="4"/>
  <c r="Q113" i="4"/>
  <c r="Q111" i="4"/>
  <c r="Q105" i="4"/>
  <c r="R105" i="4" s="1"/>
  <c r="Q104" i="4"/>
  <c r="R104" i="4" s="1"/>
  <c r="Q103" i="4"/>
  <c r="R103" i="4" s="1"/>
  <c r="Q102" i="4"/>
  <c r="R102" i="4" s="1"/>
  <c r="Q101" i="4"/>
  <c r="R101" i="4" s="1"/>
  <c r="V23" i="4"/>
  <c r="V24" i="4" s="1"/>
  <c r="V25" i="4" s="1"/>
  <c r="V26" i="4" s="1"/>
  <c r="C25" i="2"/>
  <c r="C26" i="2" s="1"/>
  <c r="O24" i="4"/>
  <c r="O23" i="4"/>
  <c r="O22" i="4"/>
  <c r="O21" i="4"/>
  <c r="O20" i="4"/>
  <c r="O29" i="4"/>
  <c r="O28" i="4"/>
  <c r="O27" i="4"/>
  <c r="O26" i="4"/>
  <c r="O25" i="4"/>
  <c r="O39" i="4"/>
  <c r="O38" i="4"/>
  <c r="O37" i="4"/>
  <c r="O36" i="4"/>
  <c r="O35" i="4"/>
  <c r="O12" i="4"/>
  <c r="O10" i="4"/>
  <c r="K104" i="4"/>
  <c r="K105" i="4" s="1"/>
  <c r="K106" i="4" s="1"/>
  <c r="K107" i="4" s="1"/>
  <c r="K108" i="4" s="1"/>
  <c r="K74" i="4"/>
  <c r="P126" i="4" s="1"/>
  <c r="K53" i="4"/>
  <c r="K54" i="4" s="1"/>
  <c r="K55" i="4" s="1"/>
  <c r="K86" i="4"/>
  <c r="K87" i="4" s="1"/>
  <c r="K88" i="4" s="1"/>
  <c r="K89" i="4" s="1"/>
  <c r="C5" i="4"/>
  <c r="C6" i="4" s="1"/>
  <c r="C7" i="4" s="1"/>
  <c r="C8" i="4" s="1"/>
  <c r="C9" i="4" s="1"/>
  <c r="C10" i="4" s="1"/>
  <c r="C11" i="4" s="1"/>
  <c r="C12" i="4" s="1"/>
  <c r="C13" i="4" s="1"/>
  <c r="C14" i="4" s="1"/>
  <c r="C15" i="4" s="1"/>
  <c r="C16" i="4" s="1"/>
  <c r="C17" i="4" s="1"/>
  <c r="C18" i="4" s="1"/>
  <c r="C19" i="4" s="1"/>
  <c r="C20" i="4" s="1"/>
  <c r="C21" i="4" s="1"/>
  <c r="B5" i="4"/>
  <c r="B6" i="4" s="1"/>
  <c r="D4" i="4"/>
  <c r="AF10" i="3"/>
  <c r="W10" i="3"/>
  <c r="V7" i="4" s="1"/>
  <c r="U10" i="3"/>
  <c r="F10" i="3"/>
  <c r="D10" i="3"/>
  <c r="C10" i="3"/>
  <c r="P10" i="3"/>
  <c r="N10" i="3"/>
  <c r="K10" i="3"/>
  <c r="J10" i="3"/>
  <c r="I10" i="3"/>
  <c r="H10" i="3"/>
  <c r="F44" i="7" l="1"/>
  <c r="D16" i="12" s="1"/>
  <c r="J30" i="8" s="1"/>
  <c r="G79" i="7"/>
  <c r="D23" i="12" s="1"/>
  <c r="J62" i="8" s="1"/>
  <c r="K62" i="8" s="1"/>
  <c r="G74" i="7"/>
  <c r="D22" i="12" s="1"/>
  <c r="J61" i="8" s="1"/>
  <c r="K61" i="8" s="1"/>
  <c r="G89" i="7"/>
  <c r="D25" i="12" s="1"/>
  <c r="J64" i="8" s="1"/>
  <c r="K64" i="8" s="1"/>
  <c r="G69" i="7"/>
  <c r="D21" i="12" s="1"/>
  <c r="J60" i="8" s="1"/>
  <c r="K60" i="8" s="1"/>
  <c r="G64" i="7"/>
  <c r="D20" i="12" s="1"/>
  <c r="D21" i="8"/>
  <c r="E93" i="8"/>
  <c r="C89" i="8"/>
  <c r="E89" i="8" s="1"/>
  <c r="C105" i="8"/>
  <c r="E105" i="8" s="1"/>
  <c r="C113" i="8"/>
  <c r="E113" i="8" s="1"/>
  <c r="C97" i="8"/>
  <c r="E97" i="8" s="1"/>
  <c r="J89" i="8"/>
  <c r="E28" i="8"/>
  <c r="D107" i="8"/>
  <c r="D115" i="8"/>
  <c r="D44" i="8"/>
  <c r="L20" i="12"/>
  <c r="G20" i="12" s="1"/>
  <c r="F1400" i="8"/>
  <c r="E503" i="8"/>
  <c r="T45" i="3"/>
  <c r="Q110" i="4"/>
  <c r="T35" i="3"/>
  <c r="T37" i="3" s="1"/>
  <c r="Q112" i="4"/>
  <c r="Q97" i="4"/>
  <c r="Q94" i="4"/>
  <c r="Q96" i="4"/>
  <c r="R96" i="4" s="1"/>
  <c r="D27" i="2"/>
  <c r="F26" i="2"/>
  <c r="C6" i="2"/>
  <c r="C27" i="2"/>
  <c r="C28" i="2" s="1"/>
  <c r="C29" i="2" s="1"/>
  <c r="C30" i="2" s="1"/>
  <c r="C31" i="2" s="1"/>
  <c r="C32" i="2" s="1"/>
  <c r="C33" i="2" s="1"/>
  <c r="C34" i="2" s="1"/>
  <c r="C35" i="2" s="1"/>
  <c r="C36" i="2" s="1"/>
  <c r="G685" i="8"/>
  <c r="G669" i="8"/>
  <c r="G661" i="8"/>
  <c r="G677" i="8"/>
  <c r="G670" i="8"/>
  <c r="G686" i="8"/>
  <c r="G678" i="8"/>
  <c r="G662" i="8"/>
  <c r="G674" i="8"/>
  <c r="G666" i="8"/>
  <c r="G658" i="8"/>
  <c r="G665" i="8"/>
  <c r="G682" i="8"/>
  <c r="G657" i="8"/>
  <c r="G681" i="8"/>
  <c r="G660" i="8"/>
  <c r="G676" i="8"/>
  <c r="G668" i="8"/>
  <c r="G683" i="8"/>
  <c r="G667" i="8"/>
  <c r="G675" i="8"/>
  <c r="G684" i="8"/>
  <c r="G659" i="8"/>
  <c r="C7" i="3"/>
  <c r="C6" i="3" s="1"/>
  <c r="B30" i="1" s="1"/>
  <c r="E505" i="8"/>
  <c r="E493" i="8"/>
  <c r="E495" i="8"/>
  <c r="E486" i="8"/>
  <c r="E512" i="8"/>
  <c r="E496" i="8"/>
  <c r="E485" i="8"/>
  <c r="E494" i="8"/>
  <c r="F25" i="2"/>
  <c r="D7" i="3"/>
  <c r="D6" i="3" s="1"/>
  <c r="C30" i="1" s="1"/>
  <c r="M8" i="4"/>
  <c r="E709" i="8"/>
  <c r="F709" i="8" s="1"/>
  <c r="G711" i="8" s="1"/>
  <c r="E699" i="8"/>
  <c r="F699" i="8" s="1"/>
  <c r="E704" i="8"/>
  <c r="F704" i="8" s="1"/>
  <c r="G706" i="8" s="1"/>
  <c r="E694" i="8"/>
  <c r="F694" i="8" s="1"/>
  <c r="G696" i="8" s="1"/>
  <c r="D45" i="12"/>
  <c r="P96" i="4"/>
  <c r="T73" i="3"/>
  <c r="AI7" i="3"/>
  <c r="K23" i="8"/>
  <c r="L23" i="8"/>
  <c r="J24" i="8"/>
  <c r="K24" i="8" s="1"/>
  <c r="K29" i="8"/>
  <c r="L29" i="8"/>
  <c r="K25" i="8"/>
  <c r="L25" i="8"/>
  <c r="K26" i="8"/>
  <c r="L26" i="8"/>
  <c r="K28" i="8"/>
  <c r="L28" i="8"/>
  <c r="K30" i="8"/>
  <c r="L30" i="8"/>
  <c r="L39" i="12"/>
  <c r="G39" i="12" s="1"/>
  <c r="D891" i="8"/>
  <c r="D1094" i="8"/>
  <c r="P110" i="4"/>
  <c r="K76" i="4"/>
  <c r="K77" i="4" s="1"/>
  <c r="K78" i="4" s="1"/>
  <c r="K79" i="4" s="1"/>
  <c r="K80" i="4" s="1"/>
  <c r="P127" i="4"/>
  <c r="P125" i="4"/>
  <c r="D5" i="4"/>
  <c r="Q106" i="4"/>
  <c r="Q107" i="4" s="1"/>
  <c r="R106" i="4"/>
  <c r="R107" i="4" s="1"/>
  <c r="K141" i="4"/>
  <c r="K140" i="4"/>
  <c r="K138" i="4"/>
  <c r="K142" i="4"/>
  <c r="D6" i="4"/>
  <c r="B7" i="4"/>
  <c r="K61" i="4"/>
  <c r="K62" i="4" s="1"/>
  <c r="K63" i="4" s="1"/>
  <c r="K64" i="4" s="1"/>
  <c r="K65" i="4" s="1"/>
  <c r="E522" i="8"/>
  <c r="F522" i="8" s="1"/>
  <c r="F560" i="8" s="1"/>
  <c r="G560" i="8" s="1"/>
  <c r="G54" i="7"/>
  <c r="D18" i="12" s="1"/>
  <c r="G59" i="7"/>
  <c r="D19" i="12" s="1"/>
  <c r="D732" i="8"/>
  <c r="E354" i="8"/>
  <c r="E347" i="8"/>
  <c r="E345" i="8"/>
  <c r="E70" i="8"/>
  <c r="P97" i="4"/>
  <c r="W64" i="3"/>
  <c r="D727" i="8"/>
  <c r="G729" i="8" s="1"/>
  <c r="D722" i="8"/>
  <c r="G724" i="8" s="1"/>
  <c r="F79" i="8"/>
  <c r="E79" i="8"/>
  <c r="Y15" i="3"/>
  <c r="Y25" i="3" s="1"/>
  <c r="Y27" i="3" s="1"/>
  <c r="T26" i="3"/>
  <c r="T67" i="3" s="1"/>
  <c r="T24" i="3"/>
  <c r="C525" i="8" s="1"/>
  <c r="F525" i="8" s="1"/>
  <c r="G525" i="8" s="1"/>
  <c r="G532" i="8" s="1"/>
  <c r="AG13" i="3"/>
  <c r="P112" i="4"/>
  <c r="T14" i="3"/>
  <c r="T16" i="3" s="1"/>
  <c r="X10" i="3"/>
  <c r="E352" i="8"/>
  <c r="E338" i="8"/>
  <c r="E340" i="8"/>
  <c r="K110" i="4"/>
  <c r="K56" i="4"/>
  <c r="C546" i="8"/>
  <c r="F546" i="8" s="1"/>
  <c r="G546" i="8" s="1"/>
  <c r="C557" i="8"/>
  <c r="F557" i="8" s="1"/>
  <c r="G557" i="8" s="1"/>
  <c r="C535" i="8"/>
  <c r="F535" i="8" s="1"/>
  <c r="G535" i="8" s="1"/>
  <c r="G543" i="8" s="1"/>
  <c r="W68" i="3"/>
  <c r="E37" i="8"/>
  <c r="E77" i="8"/>
  <c r="F77" i="8"/>
  <c r="E251" i="8"/>
  <c r="E333" i="8"/>
  <c r="E330" i="8"/>
  <c r="E337" i="8"/>
  <c r="G84" i="7"/>
  <c r="D24" i="12" s="1"/>
  <c r="G445" i="8"/>
  <c r="V10" i="3"/>
  <c r="G465" i="8"/>
  <c r="V34" i="3"/>
  <c r="G455" i="8"/>
  <c r="K97" i="4"/>
  <c r="V24" i="3"/>
  <c r="E136" i="8"/>
  <c r="F68" i="8"/>
  <c r="E252" i="8"/>
  <c r="E501" i="8"/>
  <c r="E68" i="8"/>
  <c r="E272" i="8"/>
  <c r="E374" i="8"/>
  <c r="E344" i="8"/>
  <c r="E143" i="8"/>
  <c r="E265" i="8"/>
  <c r="E42" i="8"/>
  <c r="E44" i="8" s="1"/>
  <c r="E513" i="8"/>
  <c r="G133" i="8"/>
  <c r="E476" i="8"/>
  <c r="E451" i="8"/>
  <c r="E456" i="8" s="1"/>
  <c r="E111" i="8"/>
  <c r="E150" i="8"/>
  <c r="E286" i="8"/>
  <c r="E219" i="8"/>
  <c r="E307" i="8"/>
  <c r="E367" i="8"/>
  <c r="E401" i="8"/>
  <c r="E446" i="8"/>
  <c r="E29" i="8"/>
  <c r="E36" i="8" s="1"/>
  <c r="D29" i="8"/>
  <c r="E498" i="8"/>
  <c r="E504" i="8"/>
  <c r="E204" i="8"/>
  <c r="E210" i="8" s="1"/>
  <c r="E226" i="8"/>
  <c r="E228" i="8" s="1"/>
  <c r="E311" i="8"/>
  <c r="E316" i="8" s="1"/>
  <c r="G413" i="8"/>
  <c r="E162" i="8"/>
  <c r="E421" i="8"/>
  <c r="E91" i="8"/>
  <c r="E95" i="8" s="1"/>
  <c r="E184" i="8"/>
  <c r="E240" i="8"/>
  <c r="E246" i="8"/>
  <c r="E245" i="8"/>
  <c r="L35" i="12"/>
  <c r="G35" i="12" s="1"/>
  <c r="E381" i="8"/>
  <c r="E483" i="8"/>
  <c r="L28" i="12"/>
  <c r="G28" i="12" s="1"/>
  <c r="E411" i="8"/>
  <c r="E99" i="8"/>
  <c r="F29" i="7"/>
  <c r="D13" i="12" s="1"/>
  <c r="J27" i="8" s="1"/>
  <c r="E233" i="8"/>
  <c r="E239" i="8"/>
  <c r="F221" i="8"/>
  <c r="E460" i="8"/>
  <c r="E466" i="8" s="1"/>
  <c r="E492" i="8"/>
  <c r="E514" i="8"/>
  <c r="E487" i="8"/>
  <c r="D34" i="8"/>
  <c r="D36" i="8" s="1"/>
  <c r="D99" i="8"/>
  <c r="E100" i="8"/>
  <c r="E117" i="8"/>
  <c r="E119" i="8" s="1"/>
  <c r="F125" i="8"/>
  <c r="G125" i="8" s="1"/>
  <c r="E129" i="8"/>
  <c r="G173" i="8"/>
  <c r="E188" i="8"/>
  <c r="E279" i="8"/>
  <c r="F164" i="8"/>
  <c r="E171" i="8"/>
  <c r="F182" i="8"/>
  <c r="E430" i="8"/>
  <c r="E431" i="8" s="1"/>
  <c r="E298" i="8"/>
  <c r="E101" i="8"/>
  <c r="F101" i="8"/>
  <c r="G101" i="8" s="1"/>
  <c r="E180" i="8"/>
  <c r="E201" i="8"/>
  <c r="E319" i="8"/>
  <c r="E325" i="8" s="1"/>
  <c r="E388" i="8"/>
  <c r="E516" i="8"/>
  <c r="J58" i="8" l="1"/>
  <c r="K58" i="8" s="1"/>
  <c r="J57" i="8"/>
  <c r="K57" i="8" s="1"/>
  <c r="J59" i="8"/>
  <c r="K59" i="8" s="1"/>
  <c r="T51" i="3"/>
  <c r="T41" i="3"/>
  <c r="I543" i="8"/>
  <c r="J543" i="8" s="1"/>
  <c r="T57" i="3"/>
  <c r="T39" i="3"/>
  <c r="Q95" i="4"/>
  <c r="Q92" i="4" s="1"/>
  <c r="T49" i="3" s="1"/>
  <c r="Q26" i="3"/>
  <c r="K32" i="4"/>
  <c r="K30" i="4"/>
  <c r="F27" i="2"/>
  <c r="D6" i="2" s="1"/>
  <c r="D28" i="2"/>
  <c r="AI6" i="3"/>
  <c r="H43" i="1" s="1"/>
  <c r="P95" i="4"/>
  <c r="P92" i="4" s="1"/>
  <c r="L45" i="12"/>
  <c r="G45" i="12" s="1"/>
  <c r="L24" i="8"/>
  <c r="E1214" i="8"/>
  <c r="G1214" i="8" s="1"/>
  <c r="T30" i="3"/>
  <c r="T71" i="3" s="1"/>
  <c r="K27" i="8"/>
  <c r="K33" i="8" s="1"/>
  <c r="L27" i="8"/>
  <c r="J63" i="8"/>
  <c r="K63" i="8" s="1"/>
  <c r="E1201" i="8"/>
  <c r="G1201" i="8" s="1"/>
  <c r="F556" i="8"/>
  <c r="G556" i="8" s="1"/>
  <c r="K35" i="4"/>
  <c r="K36" i="4"/>
  <c r="K33" i="4"/>
  <c r="K31" i="4"/>
  <c r="D7" i="4"/>
  <c r="B8" i="4"/>
  <c r="K29" i="4"/>
  <c r="G701" i="8"/>
  <c r="H1094" i="8" s="1"/>
  <c r="D1022" i="8"/>
  <c r="G734" i="8"/>
  <c r="F1022" i="8"/>
  <c r="E349" i="8"/>
  <c r="Y21" i="3"/>
  <c r="Y23" i="3" s="1"/>
  <c r="F561" i="8"/>
  <c r="G561" i="8" s="1"/>
  <c r="F549" i="8"/>
  <c r="G549" i="8" s="1"/>
  <c r="F545" i="8"/>
  <c r="G545" i="8" s="1"/>
  <c r="Y31" i="3"/>
  <c r="R97" i="4"/>
  <c r="R95" i="4" s="1"/>
  <c r="R92" i="4" s="1"/>
  <c r="T28" i="3" s="1"/>
  <c r="Y17" i="3"/>
  <c r="E356" i="8"/>
  <c r="F532" i="8"/>
  <c r="T65" i="3"/>
  <c r="T18" i="3"/>
  <c r="T20" i="3"/>
  <c r="T61" i="3" s="1"/>
  <c r="T55" i="3"/>
  <c r="V17" i="4"/>
  <c r="E342" i="8"/>
  <c r="E335" i="8"/>
  <c r="F543" i="8"/>
  <c r="E255" i="8"/>
  <c r="K37" i="4"/>
  <c r="K98" i="4"/>
  <c r="D18" i="7"/>
  <c r="D17" i="7"/>
  <c r="D16" i="7"/>
  <c r="D26" i="7" s="1"/>
  <c r="E508" i="8"/>
  <c r="D106" i="7"/>
  <c r="D13" i="7"/>
  <c r="E189" i="8"/>
  <c r="D11" i="7"/>
  <c r="D12" i="7"/>
  <c r="E517" i="8"/>
  <c r="E103" i="8"/>
  <c r="E237" i="8"/>
  <c r="G182" i="8"/>
  <c r="E499" i="8"/>
  <c r="G221" i="8"/>
  <c r="G164" i="8"/>
  <c r="E490" i="8"/>
  <c r="E249" i="8"/>
  <c r="E243" i="8"/>
  <c r="K66" i="8" l="1"/>
  <c r="T59" i="3"/>
  <c r="K42" i="4"/>
  <c r="T69" i="3"/>
  <c r="F28" i="2"/>
  <c r="D29" i="2"/>
  <c r="L33" i="8"/>
  <c r="G566" i="8"/>
  <c r="D108" i="7" s="1"/>
  <c r="O28" i="12" s="1"/>
  <c r="J28" i="12" s="1"/>
  <c r="G554" i="8"/>
  <c r="D107" i="7" s="1"/>
  <c r="N28" i="12" s="1"/>
  <c r="I28" i="12" s="1"/>
  <c r="K369" i="8"/>
  <c r="C1032" i="8"/>
  <c r="K41" i="4"/>
  <c r="D8" i="4"/>
  <c r="B9" i="4"/>
  <c r="C1048" i="8"/>
  <c r="C1040" i="8"/>
  <c r="C1024" i="8"/>
  <c r="F566" i="8"/>
  <c r="F554" i="8"/>
  <c r="G907" i="8"/>
  <c r="Y7" i="3"/>
  <c r="D21" i="7"/>
  <c r="D31" i="7"/>
  <c r="D32" i="7"/>
  <c r="D37" i="7"/>
  <c r="K38" i="4"/>
  <c r="K99" i="4"/>
  <c r="K39" i="4" s="1"/>
  <c r="K43" i="4"/>
  <c r="D47" i="7"/>
  <c r="D42" i="7"/>
  <c r="D27" i="7"/>
  <c r="D22" i="7"/>
  <c r="D41" i="7"/>
  <c r="D36" i="7"/>
  <c r="D48" i="7"/>
  <c r="D33" i="7"/>
  <c r="D28" i="7"/>
  <c r="D38" i="7"/>
  <c r="D23" i="7"/>
  <c r="D43" i="7"/>
  <c r="D46" i="7"/>
  <c r="K28" i="12"/>
  <c r="M28" i="12"/>
  <c r="H28" i="12" s="1"/>
  <c r="F29" i="2" l="1"/>
  <c r="D30" i="2"/>
  <c r="Y6" i="3"/>
  <c r="N30" i="1" s="1"/>
  <c r="D9" i="4"/>
  <c r="B10" i="4"/>
  <c r="F28" i="12"/>
  <c r="G19" i="12"/>
  <c r="K44" i="4"/>
  <c r="K45" i="4"/>
  <c r="F30" i="2" l="1"/>
  <c r="D31" i="2"/>
  <c r="D10" i="4"/>
  <c r="B11" i="4"/>
  <c r="G908" i="8"/>
  <c r="D32" i="2" l="1"/>
  <c r="F31" i="2"/>
  <c r="J1164" i="8"/>
  <c r="J1165" i="8" s="1"/>
  <c r="B12" i="4"/>
  <c r="D11" i="4"/>
  <c r="G801" i="8"/>
  <c r="D33" i="2" l="1"/>
  <c r="F32" i="2"/>
  <c r="AJ7" i="3"/>
  <c r="E1066" i="8"/>
  <c r="B13" i="4"/>
  <c r="D12" i="4"/>
  <c r="F1082" i="8"/>
  <c r="F1074" i="8"/>
  <c r="F1090" i="8"/>
  <c r="G793" i="8"/>
  <c r="G797" i="8" s="1"/>
  <c r="G777" i="8"/>
  <c r="G781" i="8" s="1"/>
  <c r="G799" i="8"/>
  <c r="G804" i="8" s="1"/>
  <c r="F679" i="8"/>
  <c r="G679" i="8"/>
  <c r="G671" i="8"/>
  <c r="F671" i="8"/>
  <c r="F663" i="8"/>
  <c r="G663" i="8"/>
  <c r="G687" i="8"/>
  <c r="F687" i="8"/>
  <c r="AJ6" i="3" l="1"/>
  <c r="H42" i="1" s="1"/>
  <c r="D34" i="2"/>
  <c r="F33" i="2"/>
  <c r="B14" i="4"/>
  <c r="D13" i="4"/>
  <c r="D178" i="7"/>
  <c r="O46" i="12" s="1"/>
  <c r="J46" i="12" s="1"/>
  <c r="S12" i="3"/>
  <c r="S7" i="3" s="1"/>
  <c r="D176" i="7"/>
  <c r="D177" i="7"/>
  <c r="N46" i="12" s="1"/>
  <c r="I46" i="12" s="1"/>
  <c r="D188" i="7"/>
  <c r="O42" i="12" s="1"/>
  <c r="J42" i="12" s="1"/>
  <c r="D186" i="7"/>
  <c r="M42" i="12" s="1"/>
  <c r="H42" i="12" s="1"/>
  <c r="D187" i="7"/>
  <c r="N42" i="12" s="1"/>
  <c r="I42" i="12" s="1"/>
  <c r="D35" i="2" l="1"/>
  <c r="F34" i="2"/>
  <c r="S6" i="3"/>
  <c r="H41" i="1" s="1"/>
  <c r="B15" i="4"/>
  <c r="D14" i="4"/>
  <c r="M46" i="12"/>
  <c r="H46" i="12" s="1"/>
  <c r="K46" i="12"/>
  <c r="F46" i="12" s="1"/>
  <c r="K42" i="12"/>
  <c r="F42" i="12" s="1"/>
  <c r="F35" i="2" l="1"/>
  <c r="D36" i="2"/>
  <c r="B16" i="4"/>
  <c r="D15" i="4"/>
  <c r="F36" i="2" l="1"/>
  <c r="D37" i="2"/>
  <c r="B17" i="4"/>
  <c r="D16" i="4"/>
  <c r="D38" i="2" l="1"/>
  <c r="F37" i="2"/>
  <c r="D17" i="4"/>
  <c r="B18" i="4"/>
  <c r="L29" i="12"/>
  <c r="G29" i="12" s="1"/>
  <c r="D39" i="2" l="1"/>
  <c r="F38" i="2"/>
  <c r="B19" i="4"/>
  <c r="D18" i="4"/>
  <c r="D40" i="2" l="1"/>
  <c r="F39" i="2"/>
  <c r="B20" i="4"/>
  <c r="D19" i="4"/>
  <c r="F40" i="2" l="1"/>
  <c r="D41" i="2"/>
  <c r="B21" i="4"/>
  <c r="D20" i="4"/>
  <c r="G62" i="12"/>
  <c r="F41" i="2" l="1"/>
  <c r="B22" i="4"/>
  <c r="D21" i="4"/>
  <c r="E42" i="2" l="1"/>
  <c r="F42" i="2" s="1"/>
  <c r="E14" i="3" s="1"/>
  <c r="C22" i="4"/>
  <c r="C23" i="4" s="1"/>
  <c r="C24" i="4" s="1"/>
  <c r="C25" i="4" s="1"/>
  <c r="C26" i="4" s="1"/>
  <c r="C27" i="4" s="1"/>
  <c r="B23" i="4"/>
  <c r="V16" i="4" l="1"/>
  <c r="V18" i="4"/>
  <c r="E10" i="3"/>
  <c r="E7" i="3" s="1"/>
  <c r="D22" i="4"/>
  <c r="B24" i="4"/>
  <c r="D23" i="4"/>
  <c r="E6" i="3" l="1"/>
  <c r="D30" i="1" s="1"/>
  <c r="E16" i="3"/>
  <c r="V15" i="4"/>
  <c r="B25" i="4"/>
  <c r="D24" i="4"/>
  <c r="F48" i="7" l="1"/>
  <c r="O16" i="12" s="1"/>
  <c r="J16" i="12" s="1"/>
  <c r="F47" i="7"/>
  <c r="F46" i="7"/>
  <c r="M16" i="12" s="1"/>
  <c r="H16" i="12" s="1"/>
  <c r="G5" i="4"/>
  <c r="G15" i="4"/>
  <c r="O78" i="4"/>
  <c r="P78" i="4" s="1"/>
  <c r="V36" i="4"/>
  <c r="V37" i="4" s="1"/>
  <c r="K236" i="8"/>
  <c r="O74" i="4"/>
  <c r="P74" i="4" s="1"/>
  <c r="F16" i="7"/>
  <c r="M10" i="12" s="1"/>
  <c r="H10" i="12" s="1"/>
  <c r="F22" i="7"/>
  <c r="N11" i="12" s="1"/>
  <c r="I11" i="12" s="1"/>
  <c r="F41" i="7"/>
  <c r="M15" i="12" s="1"/>
  <c r="H15" i="12" s="1"/>
  <c r="K158" i="8"/>
  <c r="O61" i="4"/>
  <c r="P61" i="4" s="1"/>
  <c r="D809" i="8"/>
  <c r="E1196" i="8"/>
  <c r="F1196" i="8" s="1"/>
  <c r="G1196" i="8" s="1"/>
  <c r="F33" i="7"/>
  <c r="O13" i="12" s="1"/>
  <c r="J13" i="12" s="1"/>
  <c r="F42" i="7"/>
  <c r="N15" i="12" s="1"/>
  <c r="I15" i="12" s="1"/>
  <c r="O79" i="4"/>
  <c r="P79" i="4" s="1"/>
  <c r="P25" i="3"/>
  <c r="P7" i="3" s="1"/>
  <c r="P6" i="3" s="1"/>
  <c r="H38" i="1" s="1"/>
  <c r="K199" i="8"/>
  <c r="O76" i="4"/>
  <c r="P76" i="4" s="1"/>
  <c r="O67" i="4"/>
  <c r="P67" i="4" s="1"/>
  <c r="H25" i="3"/>
  <c r="H7" i="3" s="1"/>
  <c r="H6" i="3" s="1"/>
  <c r="H30" i="1" s="1"/>
  <c r="K335" i="8"/>
  <c r="O43" i="4"/>
  <c r="P43" i="4" s="1"/>
  <c r="I25" i="3"/>
  <c r="I7" i="3" s="1"/>
  <c r="I6" i="3" s="1"/>
  <c r="H31" i="1" s="1"/>
  <c r="F27" i="7"/>
  <c r="N12" i="12" s="1"/>
  <c r="I12" i="12" s="1"/>
  <c r="O57" i="4"/>
  <c r="P57" i="4" s="1"/>
  <c r="K266" i="8"/>
  <c r="K268" i="8" s="1"/>
  <c r="N16" i="12"/>
  <c r="I16" i="12" s="1"/>
  <c r="F37" i="7"/>
  <c r="N14" i="12" s="1"/>
  <c r="I14" i="12" s="1"/>
  <c r="F26" i="7"/>
  <c r="M12" i="12" s="1"/>
  <c r="H12" i="12" s="1"/>
  <c r="K265" i="8"/>
  <c r="F43" i="7"/>
  <c r="O15" i="12" s="1"/>
  <c r="J15" i="12" s="1"/>
  <c r="F32" i="7"/>
  <c r="N13" i="12" s="1"/>
  <c r="I13" i="12" s="1"/>
  <c r="F31" i="7"/>
  <c r="M13" i="12" s="1"/>
  <c r="H13" i="12" s="1"/>
  <c r="K198" i="8"/>
  <c r="K235" i="8"/>
  <c r="K239" i="8" s="1"/>
  <c r="O58" i="4"/>
  <c r="P58" i="4" s="1"/>
  <c r="O45" i="4"/>
  <c r="P45" i="4" s="1"/>
  <c r="K336" i="8"/>
  <c r="K338" i="8" s="1"/>
  <c r="O51" i="4"/>
  <c r="P51" i="4" s="1"/>
  <c r="K366" i="8"/>
  <c r="O69" i="4"/>
  <c r="P69" i="4" s="1"/>
  <c r="F21" i="7"/>
  <c r="M11" i="12" s="1"/>
  <c r="H11" i="12" s="1"/>
  <c r="O66" i="4"/>
  <c r="P66" i="4" s="1"/>
  <c r="O56" i="4"/>
  <c r="P56" i="4" s="1"/>
  <c r="F28" i="7"/>
  <c r="O12" i="12" s="1"/>
  <c r="J12" i="12" s="1"/>
  <c r="F23" i="7"/>
  <c r="O11" i="12" s="1"/>
  <c r="J11" i="12" s="1"/>
  <c r="O49" i="4"/>
  <c r="P49" i="4" s="1"/>
  <c r="K197" i="8"/>
  <c r="K396" i="8"/>
  <c r="O48" i="4"/>
  <c r="P48" i="4" s="1"/>
  <c r="V34" i="4"/>
  <c r="V35" i="4" s="1"/>
  <c r="V27" i="4"/>
  <c r="V28" i="4" s="1"/>
  <c r="V29" i="4" s="1"/>
  <c r="K441" i="8"/>
  <c r="K295" i="8"/>
  <c r="F36" i="7"/>
  <c r="K14" i="12" s="1"/>
  <c r="F14" i="12" s="1"/>
  <c r="C891" i="8"/>
  <c r="F38" i="7"/>
  <c r="O14" i="12" s="1"/>
  <c r="J14" i="12" s="1"/>
  <c r="C1094" i="8"/>
  <c r="E1094" i="8" s="1"/>
  <c r="O59" i="4"/>
  <c r="P59" i="4" s="1"/>
  <c r="K442" i="8"/>
  <c r="K445" i="8" s="1"/>
  <c r="J25" i="3"/>
  <c r="J7" i="3" s="1"/>
  <c r="J6" i="3" s="1"/>
  <c r="H32" i="1" s="1"/>
  <c r="O65" i="4"/>
  <c r="P65" i="4" s="1"/>
  <c r="F18" i="7"/>
  <c r="O10" i="12" s="1"/>
  <c r="J10" i="12" s="1"/>
  <c r="O81" i="4"/>
  <c r="P81" i="4" s="1"/>
  <c r="O73" i="4"/>
  <c r="P73" i="4" s="1"/>
  <c r="O60" i="4"/>
  <c r="P60" i="4" s="1"/>
  <c r="O82" i="4"/>
  <c r="P82" i="4" s="1"/>
  <c r="O64" i="4"/>
  <c r="P64" i="4" s="1"/>
  <c r="K488" i="8"/>
  <c r="K490" i="8" s="1"/>
  <c r="F11" i="7"/>
  <c r="M9" i="12" s="1"/>
  <c r="H9" i="12" s="1"/>
  <c r="K486" i="8"/>
  <c r="K264" i="8"/>
  <c r="O46" i="4"/>
  <c r="P46" i="4" s="1"/>
  <c r="G936" i="8"/>
  <c r="E973" i="8" s="1"/>
  <c r="M6" i="4"/>
  <c r="M10" i="4" s="1"/>
  <c r="O47" i="4"/>
  <c r="P47" i="4" s="1"/>
  <c r="O75" i="4"/>
  <c r="P75" i="4" s="1"/>
  <c r="F17" i="7"/>
  <c r="N10" i="12" s="1"/>
  <c r="I10" i="12" s="1"/>
  <c r="O63" i="4"/>
  <c r="P63" i="4" s="1"/>
  <c r="O62" i="4"/>
  <c r="P62" i="4" s="1"/>
  <c r="O68" i="4"/>
  <c r="P68" i="4" s="1"/>
  <c r="K365" i="8"/>
  <c r="O55" i="4"/>
  <c r="P55" i="4" s="1"/>
  <c r="AG12" i="3"/>
  <c r="AG14" i="3" s="1"/>
  <c r="O72" i="4"/>
  <c r="P72" i="4" s="1"/>
  <c r="O50" i="4"/>
  <c r="P50" i="4" s="1"/>
  <c r="O54" i="4"/>
  <c r="P54" i="4" s="1"/>
  <c r="F13" i="7"/>
  <c r="O9" i="12" s="1"/>
  <c r="J9" i="12" s="1"/>
  <c r="O44" i="4"/>
  <c r="P44" i="4" s="1"/>
  <c r="F571" i="8"/>
  <c r="O71" i="4"/>
  <c r="P71" i="4" s="1"/>
  <c r="C981" i="8"/>
  <c r="J982" i="8" s="1"/>
  <c r="J983" i="8" s="1"/>
  <c r="K25" i="3"/>
  <c r="K7" i="3" s="1"/>
  <c r="K6" i="3" s="1"/>
  <c r="H33" i="1" s="1"/>
  <c r="O80" i="4"/>
  <c r="P80" i="4" s="1"/>
  <c r="O52" i="4"/>
  <c r="P52" i="4" s="1"/>
  <c r="AG18" i="3"/>
  <c r="AG20" i="3" s="1"/>
  <c r="K296" i="8"/>
  <c r="O70" i="4"/>
  <c r="P70" i="4" s="1"/>
  <c r="O53" i="4"/>
  <c r="P53" i="4" s="1"/>
  <c r="E18" i="3"/>
  <c r="K334" i="8"/>
  <c r="N23" i="3"/>
  <c r="K398" i="8"/>
  <c r="K400" i="8" s="1"/>
  <c r="K397" i="8"/>
  <c r="F12" i="7"/>
  <c r="N9" i="12" s="1"/>
  <c r="I9" i="12" s="1"/>
  <c r="K159" i="8"/>
  <c r="G10" i="4"/>
  <c r="E1207" i="8"/>
  <c r="F1207" i="8" s="1"/>
  <c r="G1207" i="8" s="1"/>
  <c r="U25" i="3"/>
  <c r="K160" i="8"/>
  <c r="K162" i="8" s="1"/>
  <c r="E809" i="8"/>
  <c r="K487" i="8"/>
  <c r="O77" i="4"/>
  <c r="P77" i="4" s="1"/>
  <c r="U23" i="3"/>
  <c r="K299" i="8"/>
  <c r="K16" i="12"/>
  <c r="F16" i="12" s="1"/>
  <c r="AH7" i="3"/>
  <c r="AH6" i="3" s="1"/>
  <c r="R30" i="1" s="1"/>
  <c r="D25" i="4"/>
  <c r="B26" i="4"/>
  <c r="E48" i="8" l="1"/>
  <c r="G48" i="8"/>
  <c r="F48" i="8"/>
  <c r="G16" i="4"/>
  <c r="F624" i="8" s="1"/>
  <c r="D981" i="8"/>
  <c r="E1117" i="8" s="1"/>
  <c r="F1117" i="8" s="1"/>
  <c r="F154" i="8"/>
  <c r="F174" i="8" s="1"/>
  <c r="G4" i="4"/>
  <c r="F1399" i="8" s="1"/>
  <c r="F1401" i="8" s="1"/>
  <c r="G14" i="4"/>
  <c r="W40" i="3"/>
  <c r="E1399" i="8"/>
  <c r="E1401" i="8" s="1"/>
  <c r="AH19" i="3"/>
  <c r="G1256" i="8" s="1"/>
  <c r="G1257" i="8" s="1"/>
  <c r="K13" i="12"/>
  <c r="F13" i="12" s="1"/>
  <c r="K11" i="12"/>
  <c r="F11" i="12" s="1"/>
  <c r="K12" i="12"/>
  <c r="F12" i="12" s="1"/>
  <c r="K15" i="12"/>
  <c r="F15" i="12" s="1"/>
  <c r="C827" i="8"/>
  <c r="C828" i="8"/>
  <c r="C821" i="8"/>
  <c r="C833" i="8"/>
  <c r="C834" i="8"/>
  <c r="C822" i="8"/>
  <c r="F917" i="8"/>
  <c r="F927" i="8"/>
  <c r="G927" i="8" s="1"/>
  <c r="F891" i="8"/>
  <c r="D917" i="8" s="1"/>
  <c r="D918" i="8" s="1"/>
  <c r="E918" i="8" s="1"/>
  <c r="G918" i="8" s="1"/>
  <c r="G6" i="4"/>
  <c r="V18" i="3" s="1"/>
  <c r="G8" i="4"/>
  <c r="K8" i="4" s="1"/>
  <c r="W42" i="3"/>
  <c r="W20" i="3"/>
  <c r="W46" i="3"/>
  <c r="W36" i="3"/>
  <c r="W30" i="3"/>
  <c r="K10" i="12"/>
  <c r="F10" i="12" s="1"/>
  <c r="F981" i="8"/>
  <c r="E992" i="8" s="1"/>
  <c r="F992" i="8" s="1"/>
  <c r="G992" i="8" s="1"/>
  <c r="U17" i="3"/>
  <c r="E891" i="8"/>
  <c r="D903" i="8" s="1"/>
  <c r="D897" i="8"/>
  <c r="E897" i="8" s="1"/>
  <c r="G897" i="8" s="1"/>
  <c r="F1094" i="8"/>
  <c r="E1119" i="8" s="1"/>
  <c r="F1119" i="8" s="1"/>
  <c r="K201" i="8"/>
  <c r="W50" i="3"/>
  <c r="E963" i="8"/>
  <c r="E966" i="8" s="1"/>
  <c r="J940" i="8" s="1"/>
  <c r="K940" i="8" s="1"/>
  <c r="AG15" i="3"/>
  <c r="AG16" i="3" s="1"/>
  <c r="AG26" i="3" s="1"/>
  <c r="Z14" i="4"/>
  <c r="W18" i="3" s="1"/>
  <c r="W34" i="3"/>
  <c r="M12" i="4"/>
  <c r="M22" i="4" s="1"/>
  <c r="M20" i="4" s="1"/>
  <c r="G17" i="3" s="1"/>
  <c r="U21" i="3"/>
  <c r="AC15" i="3"/>
  <c r="AC17" i="3" s="1"/>
  <c r="AC21" i="3" s="1"/>
  <c r="AC23" i="3" s="1"/>
  <c r="AC7" i="3" s="1"/>
  <c r="AC6" i="3" s="1"/>
  <c r="P30" i="1" s="1"/>
  <c r="W26" i="3"/>
  <c r="K9" i="12"/>
  <c r="F9" i="12" s="1"/>
  <c r="W22" i="3"/>
  <c r="W16" i="3"/>
  <c r="AE13" i="3"/>
  <c r="AE7" i="3" s="1"/>
  <c r="AE6" i="3" s="1"/>
  <c r="T30" i="1" s="1"/>
  <c r="W14" i="3"/>
  <c r="V30" i="4"/>
  <c r="V31" i="4" s="1"/>
  <c r="U19" i="3" s="1"/>
  <c r="M14" i="12"/>
  <c r="H14" i="12" s="1"/>
  <c r="F482" i="8"/>
  <c r="F516" i="8" s="1"/>
  <c r="G516" i="8" s="1"/>
  <c r="F88" i="8"/>
  <c r="F481" i="8"/>
  <c r="F501" i="8" s="1"/>
  <c r="F391" i="8"/>
  <c r="F392" i="8" s="1"/>
  <c r="F428" i="8" s="1"/>
  <c r="G428" i="8" s="1"/>
  <c r="T22" i="3"/>
  <c r="F123" i="8"/>
  <c r="F124" i="8" s="1"/>
  <c r="T43" i="3"/>
  <c r="F232" i="8"/>
  <c r="F240" i="8" s="1"/>
  <c r="G240" i="8" s="1"/>
  <c r="F436" i="8"/>
  <c r="F361" i="8"/>
  <c r="D385" i="8" s="1"/>
  <c r="F385" i="8" s="1"/>
  <c r="G385" i="8" s="1"/>
  <c r="F290" i="8"/>
  <c r="F291" i="8" s="1"/>
  <c r="E1356" i="8"/>
  <c r="F1360" i="8" s="1"/>
  <c r="G1360" i="8" s="1"/>
  <c r="F692" i="8"/>
  <c r="E692" i="8" s="1"/>
  <c r="G704" i="8" s="1"/>
  <c r="G707" i="8" s="1"/>
  <c r="F329" i="8"/>
  <c r="F354" i="8" s="1"/>
  <c r="G354" i="8" s="1"/>
  <c r="D19" i="1"/>
  <c r="F259" i="8"/>
  <c r="F275" i="8" s="1"/>
  <c r="G275" i="8" s="1"/>
  <c r="F437" i="8"/>
  <c r="F469" i="8" s="1"/>
  <c r="G469" i="8" s="1"/>
  <c r="F193" i="8"/>
  <c r="F215" i="8" s="1"/>
  <c r="G215" i="8" s="1"/>
  <c r="AG21" i="3"/>
  <c r="AG22" i="3" s="1"/>
  <c r="AG27" i="3" s="1"/>
  <c r="E1098" i="8"/>
  <c r="F1098" i="8" s="1"/>
  <c r="F188" i="8"/>
  <c r="G188" i="8" s="1"/>
  <c r="F176" i="8"/>
  <c r="G176" i="8" s="1"/>
  <c r="F179" i="8"/>
  <c r="G179" i="8" s="1"/>
  <c r="F178" i="8"/>
  <c r="G178" i="8" s="1"/>
  <c r="F184" i="8"/>
  <c r="G184" i="8" s="1"/>
  <c r="F170" i="8"/>
  <c r="G170" i="8" s="1"/>
  <c r="E1121" i="8"/>
  <c r="F1121" i="8" s="1"/>
  <c r="E1099" i="8"/>
  <c r="F1099" i="8" s="1"/>
  <c r="E1112" i="8"/>
  <c r="F1112" i="8" s="1"/>
  <c r="E1137" i="8"/>
  <c r="F1137" i="8" s="1"/>
  <c r="E1134" i="8"/>
  <c r="F1134" i="8" s="1"/>
  <c r="E1150" i="8"/>
  <c r="F1150" i="8" s="1"/>
  <c r="E1153" i="8"/>
  <c r="F1153" i="8" s="1"/>
  <c r="E1115" i="8"/>
  <c r="F1115" i="8" s="1"/>
  <c r="E1118" i="8"/>
  <c r="F1118" i="8" s="1"/>
  <c r="E1128" i="8"/>
  <c r="E1102" i="8"/>
  <c r="F1102" i="8" s="1"/>
  <c r="E1144" i="8"/>
  <c r="E1147" i="8"/>
  <c r="F1147" i="8" s="1"/>
  <c r="E1131" i="8"/>
  <c r="F1131" i="8" s="1"/>
  <c r="E1105" i="8"/>
  <c r="F1105" i="8" s="1"/>
  <c r="E1096" i="8"/>
  <c r="F1096" i="8" s="1"/>
  <c r="G973" i="8"/>
  <c r="G976" i="8" s="1"/>
  <c r="D238" i="7" s="1"/>
  <c r="O51" i="12" s="1"/>
  <c r="J51" i="12" s="1"/>
  <c r="E976" i="8"/>
  <c r="J941" i="8" s="1"/>
  <c r="K941" i="8" s="1"/>
  <c r="K944" i="8" s="1"/>
  <c r="M14" i="4"/>
  <c r="G15" i="3" s="1"/>
  <c r="B27" i="4"/>
  <c r="D27" i="4" s="1"/>
  <c r="D26" i="4"/>
  <c r="F158" i="8" l="1"/>
  <c r="F187" i="8"/>
  <c r="G187" i="8" s="1"/>
  <c r="F169" i="8"/>
  <c r="G169" i="8" s="1"/>
  <c r="F165" i="8"/>
  <c r="F177" i="8"/>
  <c r="G177" i="8" s="1"/>
  <c r="F167" i="8"/>
  <c r="G167" i="8" s="1"/>
  <c r="F185" i="8"/>
  <c r="G185" i="8" s="1"/>
  <c r="F183" i="8"/>
  <c r="F189" i="8" s="1"/>
  <c r="F166" i="8"/>
  <c r="G166" i="8" s="1"/>
  <c r="F175" i="8"/>
  <c r="G175" i="8" s="1"/>
  <c r="F186" i="8"/>
  <c r="G186" i="8" s="1"/>
  <c r="E1101" i="8"/>
  <c r="F1101" i="8" s="1"/>
  <c r="E1149" i="8"/>
  <c r="F1149" i="8" s="1"/>
  <c r="E1130" i="8"/>
  <c r="F1130" i="8" s="1"/>
  <c r="F53" i="8"/>
  <c r="F78" i="8"/>
  <c r="F60" i="8"/>
  <c r="F51" i="8"/>
  <c r="F69" i="8"/>
  <c r="F62" i="8"/>
  <c r="F76" i="8"/>
  <c r="F67" i="8"/>
  <c r="F49" i="8"/>
  <c r="F58" i="8"/>
  <c r="F71" i="8"/>
  <c r="F80" i="8"/>
  <c r="G78" i="8"/>
  <c r="G51" i="8"/>
  <c r="G60" i="8"/>
  <c r="G62" i="8"/>
  <c r="G53" i="8"/>
  <c r="G71" i="8"/>
  <c r="G74" i="8" s="1"/>
  <c r="G80" i="8"/>
  <c r="E51" i="8"/>
  <c r="E78" i="8"/>
  <c r="E60" i="8"/>
  <c r="E69" i="8"/>
  <c r="E53" i="8"/>
  <c r="E62" i="8"/>
  <c r="E76" i="8"/>
  <c r="E67" i="8"/>
  <c r="E49" i="8"/>
  <c r="E58" i="8"/>
  <c r="E71" i="8"/>
  <c r="E80" i="8"/>
  <c r="F102" i="8"/>
  <c r="G102" i="8" s="1"/>
  <c r="J90" i="8"/>
  <c r="F442" i="8"/>
  <c r="G442" i="8" s="1"/>
  <c r="K12" i="4"/>
  <c r="E1120" i="8"/>
  <c r="F1120" i="8" s="1"/>
  <c r="G1120" i="8" s="1"/>
  <c r="E1104" i="8"/>
  <c r="F1104" i="8" s="1"/>
  <c r="X46" i="3"/>
  <c r="E1136" i="8"/>
  <c r="F1136" i="8" s="1"/>
  <c r="E991" i="8"/>
  <c r="F991" i="8" s="1"/>
  <c r="G991" i="8" s="1"/>
  <c r="G993" i="8" s="1"/>
  <c r="X30" i="3"/>
  <c r="E1133" i="8"/>
  <c r="F1133" i="8" s="1"/>
  <c r="Q14" i="3"/>
  <c r="Q16" i="3" s="1"/>
  <c r="X34" i="3"/>
  <c r="X14" i="3"/>
  <c r="X16" i="3"/>
  <c r="X36" i="3"/>
  <c r="X40" i="3"/>
  <c r="F740" i="8"/>
  <c r="F741" i="8" s="1"/>
  <c r="G17" i="4"/>
  <c r="G19" i="4" s="1"/>
  <c r="AA14" i="4"/>
  <c r="X38" i="3" s="1"/>
  <c r="X20" i="3"/>
  <c r="X50" i="3"/>
  <c r="X42" i="3"/>
  <c r="X26" i="3"/>
  <c r="X22" i="3"/>
  <c r="E987" i="8"/>
  <c r="F987" i="8" s="1"/>
  <c r="G987" i="8" s="1"/>
  <c r="E1152" i="8"/>
  <c r="F1152" i="8" s="1"/>
  <c r="E1146" i="8"/>
  <c r="F1146" i="8" s="1"/>
  <c r="E1139" i="8"/>
  <c r="F1139" i="8" s="1"/>
  <c r="E1114" i="8"/>
  <c r="F1114" i="8" s="1"/>
  <c r="E1107" i="8"/>
  <c r="F1107" i="8" s="1"/>
  <c r="E1155" i="8"/>
  <c r="F1155" i="8" s="1"/>
  <c r="E983" i="8"/>
  <c r="F983" i="8" s="1"/>
  <c r="G983" i="8" s="1"/>
  <c r="E995" i="8"/>
  <c r="F995" i="8" s="1"/>
  <c r="G995" i="8" s="1"/>
  <c r="E1123" i="8"/>
  <c r="F1123" i="8" s="1"/>
  <c r="G20" i="4"/>
  <c r="G11" i="4"/>
  <c r="K11" i="4"/>
  <c r="W60" i="3"/>
  <c r="E571" i="8"/>
  <c r="W62" i="3"/>
  <c r="V22" i="3"/>
  <c r="E917" i="8"/>
  <c r="G917" i="8" s="1"/>
  <c r="V20" i="3"/>
  <c r="V28" i="3"/>
  <c r="V30" i="3"/>
  <c r="V36" i="3"/>
  <c r="F827" i="8"/>
  <c r="G827" i="8" s="1"/>
  <c r="G831" i="8" s="1"/>
  <c r="D217" i="7" s="1"/>
  <c r="N47" i="12" s="1"/>
  <c r="I47" i="12" s="1"/>
  <c r="E1154" i="8"/>
  <c r="F1154" i="8" s="1"/>
  <c r="F821" i="8"/>
  <c r="F825" i="8" s="1"/>
  <c r="D23" i="1"/>
  <c r="G1399" i="8" s="1"/>
  <c r="G1401" i="8" s="1"/>
  <c r="AA15" i="3"/>
  <c r="U7" i="3"/>
  <c r="U6" i="3" s="1"/>
  <c r="J30" i="1" s="1"/>
  <c r="E1151" i="8"/>
  <c r="F1151" i="8" s="1"/>
  <c r="E996" i="8"/>
  <c r="F996" i="8" s="1"/>
  <c r="G996" i="8" s="1"/>
  <c r="K9" i="4"/>
  <c r="K10" i="4"/>
  <c r="K5" i="4"/>
  <c r="D898" i="8"/>
  <c r="E898" i="8" s="1"/>
  <c r="G898" i="8" s="1"/>
  <c r="V32" i="3"/>
  <c r="V26" i="3"/>
  <c r="E984" i="8"/>
  <c r="F984" i="8" s="1"/>
  <c r="G984" i="8" s="1"/>
  <c r="E988" i="8"/>
  <c r="F988" i="8" s="1"/>
  <c r="G988" i="8" s="1"/>
  <c r="J629" i="8"/>
  <c r="G7" i="4"/>
  <c r="W66" i="3"/>
  <c r="F315" i="8"/>
  <c r="G315" i="8" s="1"/>
  <c r="W56" i="3"/>
  <c r="D915" i="8"/>
  <c r="E915" i="8" s="1"/>
  <c r="G915" i="8" s="1"/>
  <c r="W70" i="3"/>
  <c r="F252" i="8"/>
  <c r="G252" i="8" s="1"/>
  <c r="D241" i="8"/>
  <c r="F241" i="8" s="1"/>
  <c r="G241" i="8" s="1"/>
  <c r="F89" i="8"/>
  <c r="G89" i="8" s="1"/>
  <c r="D909" i="8"/>
  <c r="D910" i="8" s="1"/>
  <c r="E910" i="8" s="1"/>
  <c r="G910" i="8" s="1"/>
  <c r="D899" i="8"/>
  <c r="D900" i="8" s="1"/>
  <c r="E900" i="8" s="1"/>
  <c r="G900" i="8" s="1"/>
  <c r="D919" i="8"/>
  <c r="E919" i="8" s="1"/>
  <c r="G919" i="8" s="1"/>
  <c r="D913" i="8"/>
  <c r="D914" i="8" s="1"/>
  <c r="E914" i="8" s="1"/>
  <c r="G914" i="8" s="1"/>
  <c r="D929" i="8"/>
  <c r="D930" i="8" s="1"/>
  <c r="E930" i="8" s="1"/>
  <c r="G930" i="8" s="1"/>
  <c r="D905" i="8"/>
  <c r="D906" i="8" s="1"/>
  <c r="E906" i="8" s="1"/>
  <c r="D893" i="8"/>
  <c r="E893" i="8" s="1"/>
  <c r="D923" i="8"/>
  <c r="E923" i="8" s="1"/>
  <c r="D895" i="8"/>
  <c r="E895" i="8" s="1"/>
  <c r="G895" i="8" s="1"/>
  <c r="F98" i="8"/>
  <c r="G98" i="8" s="1"/>
  <c r="F1376" i="8"/>
  <c r="G1376" i="8" s="1"/>
  <c r="F223" i="8"/>
  <c r="G223" i="8" s="1"/>
  <c r="F113" i="8"/>
  <c r="G113" i="8" s="1"/>
  <c r="F225" i="8"/>
  <c r="G225" i="8" s="1"/>
  <c r="F1358" i="8"/>
  <c r="G1358" i="8" s="1"/>
  <c r="F384" i="8"/>
  <c r="G384" i="8" s="1"/>
  <c r="F217" i="8"/>
  <c r="G217" i="8" s="1"/>
  <c r="F107" i="8"/>
  <c r="G107" i="8" s="1"/>
  <c r="F371" i="8"/>
  <c r="G371" i="8" s="1"/>
  <c r="F224" i="8"/>
  <c r="G224" i="8" s="1"/>
  <c r="F460" i="8"/>
  <c r="G460" i="8" s="1"/>
  <c r="F377" i="8"/>
  <c r="G377" i="8" s="1"/>
  <c r="G963" i="8"/>
  <c r="G966" i="8" s="1"/>
  <c r="D237" i="7" s="1"/>
  <c r="N51" i="12" s="1"/>
  <c r="I51" i="12" s="1"/>
  <c r="F438" i="8"/>
  <c r="G438" i="8" s="1"/>
  <c r="F97" i="8"/>
  <c r="G97" i="8" s="1"/>
  <c r="F448" i="8"/>
  <c r="G448" i="8" s="1"/>
  <c r="F92" i="8"/>
  <c r="G92" i="8" s="1"/>
  <c r="F450" i="8"/>
  <c r="G450" i="8" s="1"/>
  <c r="F507" i="8"/>
  <c r="G507" i="8" s="1"/>
  <c r="F441" i="8"/>
  <c r="G441" i="8" s="1"/>
  <c r="F439" i="8"/>
  <c r="G439" i="8" s="1"/>
  <c r="F471" i="8"/>
  <c r="G471" i="8" s="1"/>
  <c r="F424" i="8"/>
  <c r="G424" i="8" s="1"/>
  <c r="F1373" i="8"/>
  <c r="G1373" i="8" s="1"/>
  <c r="F1367" i="8"/>
  <c r="G1367" i="8" s="1"/>
  <c r="E1132" i="8"/>
  <c r="F1132" i="8" s="1"/>
  <c r="E1103" i="8"/>
  <c r="F1103" i="8" s="1"/>
  <c r="F409" i="8"/>
  <c r="G409" i="8" s="1"/>
  <c r="F1371" i="8"/>
  <c r="G1371" i="8" s="1"/>
  <c r="F1366" i="8"/>
  <c r="G1366" i="8" s="1"/>
  <c r="E1148" i="8"/>
  <c r="F1148" i="8" s="1"/>
  <c r="G1149" i="8" s="1"/>
  <c r="E1100" i="8"/>
  <c r="F1100" i="8" s="1"/>
  <c r="G1101" i="8" s="1"/>
  <c r="F405" i="8"/>
  <c r="G405" i="8" s="1"/>
  <c r="F1361" i="8"/>
  <c r="G1361" i="8" s="1"/>
  <c r="F1364" i="8"/>
  <c r="G1364" i="8" s="1"/>
  <c r="E1106" i="8"/>
  <c r="F1106" i="8" s="1"/>
  <c r="E1122" i="8"/>
  <c r="F1122" i="8" s="1"/>
  <c r="F417" i="8"/>
  <c r="G417" i="8" s="1"/>
  <c r="F1379" i="8"/>
  <c r="G1379" i="8" s="1"/>
  <c r="E1116" i="8"/>
  <c r="F1116" i="8" s="1"/>
  <c r="G1117" i="8" s="1"/>
  <c r="E1097" i="8"/>
  <c r="F1097" i="8" s="1"/>
  <c r="G1098" i="8" s="1"/>
  <c r="F1377" i="8"/>
  <c r="G1377" i="8" s="1"/>
  <c r="F1372" i="8"/>
  <c r="G1372" i="8" s="1"/>
  <c r="W38" i="3"/>
  <c r="W58" i="3" s="1"/>
  <c r="E1135" i="8"/>
  <c r="F1135" i="8" s="1"/>
  <c r="E1129" i="8"/>
  <c r="F1129" i="8" s="1"/>
  <c r="F1359" i="8"/>
  <c r="G1359" i="8" s="1"/>
  <c r="F1370" i="8"/>
  <c r="E1113" i="8"/>
  <c r="F1113" i="8" s="1"/>
  <c r="E1138" i="8"/>
  <c r="F1138" i="8" s="1"/>
  <c r="F1365" i="8"/>
  <c r="G1365" i="8" s="1"/>
  <c r="F1378" i="8"/>
  <c r="G1378" i="8" s="1"/>
  <c r="E1145" i="8"/>
  <c r="F1145" i="8" s="1"/>
  <c r="F406" i="8"/>
  <c r="G406" i="8" s="1"/>
  <c r="F459" i="8"/>
  <c r="G459" i="8" s="1"/>
  <c r="F468" i="8"/>
  <c r="G468" i="8" s="1"/>
  <c r="W54" i="3"/>
  <c r="F470" i="8"/>
  <c r="G470" i="8" s="1"/>
  <c r="F513" i="8"/>
  <c r="G513" i="8" s="1"/>
  <c r="F511" i="8"/>
  <c r="G511" i="8" s="1"/>
  <c r="F483" i="8"/>
  <c r="G483" i="8" s="1"/>
  <c r="F494" i="8"/>
  <c r="G494" i="8" s="1"/>
  <c r="F486" i="8"/>
  <c r="G486" i="8" s="1"/>
  <c r="F293" i="8"/>
  <c r="G293" i="8" s="1"/>
  <c r="F294" i="8"/>
  <c r="G294" i="8" s="1"/>
  <c r="F503" i="8"/>
  <c r="G503" i="8" s="1"/>
  <c r="F369" i="8"/>
  <c r="G369" i="8" s="1"/>
  <c r="F463" i="8"/>
  <c r="G463" i="8" s="1"/>
  <c r="D320" i="8"/>
  <c r="F320" i="8" s="1"/>
  <c r="G320" i="8" s="1"/>
  <c r="F324" i="8"/>
  <c r="G324" i="8" s="1"/>
  <c r="F487" i="8"/>
  <c r="G487" i="8" s="1"/>
  <c r="F489" i="8"/>
  <c r="G489" i="8" s="1"/>
  <c r="F370" i="8"/>
  <c r="G370" i="8" s="1"/>
  <c r="F449" i="8"/>
  <c r="G449" i="8" s="1"/>
  <c r="F451" i="8"/>
  <c r="G451" i="8" s="1"/>
  <c r="F204" i="8"/>
  <c r="G204" i="8" s="1"/>
  <c r="F218" i="8"/>
  <c r="G218" i="8" s="1"/>
  <c r="F116" i="8"/>
  <c r="G116" i="8" s="1"/>
  <c r="F91" i="8"/>
  <c r="G91" i="8" s="1"/>
  <c r="F118" i="8"/>
  <c r="G118" i="8" s="1"/>
  <c r="F473" i="8"/>
  <c r="G473" i="8" s="1"/>
  <c r="F474" i="8"/>
  <c r="G474" i="8" s="1"/>
  <c r="F510" i="8"/>
  <c r="G510" i="8" s="1"/>
  <c r="F485" i="8"/>
  <c r="G485" i="8" s="1"/>
  <c r="F302" i="8"/>
  <c r="G302" i="8" s="1"/>
  <c r="F216" i="8"/>
  <c r="G216" i="8" s="1"/>
  <c r="F105" i="8"/>
  <c r="G105" i="8" s="1"/>
  <c r="F301" i="8"/>
  <c r="G301" i="8" s="1"/>
  <c r="F312" i="8"/>
  <c r="G312" i="8" s="1"/>
  <c r="F492" i="8"/>
  <c r="G492" i="8" s="1"/>
  <c r="F498" i="8"/>
  <c r="G498" i="8" s="1"/>
  <c r="F505" i="8"/>
  <c r="G505" i="8" s="1"/>
  <c r="F383" i="8"/>
  <c r="G383" i="8" s="1"/>
  <c r="F443" i="8"/>
  <c r="G443" i="8" s="1"/>
  <c r="F208" i="8"/>
  <c r="G208" i="8" s="1"/>
  <c r="F205" i="8"/>
  <c r="G205" i="8" s="1"/>
  <c r="F106" i="8"/>
  <c r="G106" i="8" s="1"/>
  <c r="F117" i="8"/>
  <c r="G117" i="8" s="1"/>
  <c r="F90" i="8"/>
  <c r="G90" i="8" s="1"/>
  <c r="F472" i="8"/>
  <c r="G472" i="8" s="1"/>
  <c r="F452" i="8"/>
  <c r="G452" i="8" s="1"/>
  <c r="F502" i="8"/>
  <c r="G502" i="8" s="1"/>
  <c r="F227" i="8"/>
  <c r="G227" i="8" s="1"/>
  <c r="F318" i="8"/>
  <c r="G318" i="8" s="1"/>
  <c r="F309" i="8"/>
  <c r="G309" i="8" s="1"/>
  <c r="F515" i="8"/>
  <c r="G515" i="8" s="1"/>
  <c r="F493" i="8"/>
  <c r="G493" i="8" s="1"/>
  <c r="F497" i="8"/>
  <c r="G497" i="8" s="1"/>
  <c r="F362" i="8"/>
  <c r="G362" i="8" s="1"/>
  <c r="F453" i="8"/>
  <c r="G453" i="8" s="1"/>
  <c r="F222" i="8"/>
  <c r="G222" i="8" s="1"/>
  <c r="F226" i="8"/>
  <c r="G226" i="8" s="1"/>
  <c r="F100" i="8"/>
  <c r="G100" i="8" s="1"/>
  <c r="F108" i="8"/>
  <c r="G108" i="8" s="1"/>
  <c r="F94" i="8"/>
  <c r="G94" i="8" s="1"/>
  <c r="F464" i="8"/>
  <c r="G464" i="8" s="1"/>
  <c r="F458" i="8"/>
  <c r="G458" i="8" s="1"/>
  <c r="F300" i="8"/>
  <c r="G300" i="8" s="1"/>
  <c r="F488" i="8"/>
  <c r="G488" i="8" s="1"/>
  <c r="F319" i="8"/>
  <c r="G319" i="8" s="1"/>
  <c r="F110" i="8"/>
  <c r="G110" i="8" s="1"/>
  <c r="F310" i="8"/>
  <c r="G310" i="8" s="1"/>
  <c r="F303" i="8"/>
  <c r="G303" i="8" s="1"/>
  <c r="F514" i="8"/>
  <c r="G514" i="8" s="1"/>
  <c r="F506" i="8"/>
  <c r="G506" i="8" s="1"/>
  <c r="F495" i="8"/>
  <c r="G495" i="8" s="1"/>
  <c r="D378" i="8"/>
  <c r="F378" i="8" s="1"/>
  <c r="G378" i="8" s="1"/>
  <c r="F376" i="8"/>
  <c r="F440" i="8"/>
  <c r="G440" i="8" s="1"/>
  <c r="F206" i="8"/>
  <c r="G206" i="8" s="1"/>
  <c r="F209" i="8"/>
  <c r="G209" i="8" s="1"/>
  <c r="F214" i="8"/>
  <c r="G214" i="8" s="1"/>
  <c r="F109" i="8"/>
  <c r="G109" i="8" s="1"/>
  <c r="F99" i="8"/>
  <c r="G99" i="8" s="1"/>
  <c r="F115" i="8"/>
  <c r="G115" i="8" s="1"/>
  <c r="F475" i="8"/>
  <c r="G475" i="8" s="1"/>
  <c r="F461" i="8"/>
  <c r="G461" i="8" s="1"/>
  <c r="F321" i="8"/>
  <c r="G321" i="8" s="1"/>
  <c r="F496" i="8"/>
  <c r="G496" i="8" s="1"/>
  <c r="D311" i="8"/>
  <c r="F311" i="8" s="1"/>
  <c r="G311" i="8" s="1"/>
  <c r="F512" i="8"/>
  <c r="G512" i="8" s="1"/>
  <c r="F504" i="8"/>
  <c r="G504" i="8" s="1"/>
  <c r="F364" i="8"/>
  <c r="G364" i="8" s="1"/>
  <c r="F197" i="8"/>
  <c r="F201" i="8" s="1"/>
  <c r="F213" i="8"/>
  <c r="G213" i="8" s="1"/>
  <c r="F93" i="8"/>
  <c r="G93" i="8" s="1"/>
  <c r="F114" i="8"/>
  <c r="G114" i="8" s="1"/>
  <c r="F462" i="8"/>
  <c r="G462" i="8" s="1"/>
  <c r="F352" i="8"/>
  <c r="G352" i="8" s="1"/>
  <c r="G709" i="8"/>
  <c r="G712" i="8" s="1"/>
  <c r="F333" i="8"/>
  <c r="G333" i="8" s="1"/>
  <c r="T63" i="3"/>
  <c r="T7" i="3" s="1"/>
  <c r="T6" i="3" s="1"/>
  <c r="I30" i="1" s="1"/>
  <c r="F339" i="8"/>
  <c r="G339" i="8" s="1"/>
  <c r="F148" i="8"/>
  <c r="G148" i="8" s="1"/>
  <c r="F141" i="8"/>
  <c r="G141" i="8" s="1"/>
  <c r="F145" i="8"/>
  <c r="G145" i="8" s="1"/>
  <c r="G699" i="8"/>
  <c r="G702" i="8" s="1"/>
  <c r="F340" i="8"/>
  <c r="G340" i="8" s="1"/>
  <c r="F430" i="8"/>
  <c r="G430" i="8" s="1"/>
  <c r="F426" i="8"/>
  <c r="G426" i="8" s="1"/>
  <c r="F416" i="8"/>
  <c r="G416" i="8" s="1"/>
  <c r="F427" i="8"/>
  <c r="G427" i="8" s="1"/>
  <c r="F419" i="8"/>
  <c r="G419" i="8" s="1"/>
  <c r="F420" i="8"/>
  <c r="G420" i="8" s="1"/>
  <c r="F398" i="8"/>
  <c r="G398" i="8" s="1"/>
  <c r="F394" i="8"/>
  <c r="G394" i="8" s="1"/>
  <c r="F415" i="8"/>
  <c r="G415" i="8" s="1"/>
  <c r="F418" i="8"/>
  <c r="G418" i="8" s="1"/>
  <c r="F404" i="8"/>
  <c r="G404" i="8" s="1"/>
  <c r="F425" i="8"/>
  <c r="G425" i="8" s="1"/>
  <c r="F414" i="8"/>
  <c r="G414" i="8" s="1"/>
  <c r="F408" i="8"/>
  <c r="G408" i="8" s="1"/>
  <c r="F396" i="8"/>
  <c r="G396" i="8" s="1"/>
  <c r="F429" i="8"/>
  <c r="G429" i="8" s="1"/>
  <c r="F245" i="8"/>
  <c r="G245" i="8" s="1"/>
  <c r="G694" i="8"/>
  <c r="G697" i="8" s="1"/>
  <c r="F233" i="8"/>
  <c r="G233" i="8" s="1"/>
  <c r="F239" i="8"/>
  <c r="G239" i="8" s="1"/>
  <c r="D247" i="8"/>
  <c r="F247" i="8" s="1"/>
  <c r="G247" i="8" s="1"/>
  <c r="F246" i="8"/>
  <c r="G246" i="8" s="1"/>
  <c r="F263" i="8"/>
  <c r="G263" i="8" s="1"/>
  <c r="D253" i="8"/>
  <c r="F253" i="8" s="1"/>
  <c r="G253" i="8" s="1"/>
  <c r="F251" i="8"/>
  <c r="F281" i="8"/>
  <c r="G281" i="8" s="1"/>
  <c r="F235" i="8"/>
  <c r="G235" i="8" s="1"/>
  <c r="F345" i="8"/>
  <c r="G345" i="8" s="1"/>
  <c r="F346" i="8"/>
  <c r="G346" i="8" s="1"/>
  <c r="F127" i="8"/>
  <c r="G127" i="8" s="1"/>
  <c r="F337" i="8"/>
  <c r="G337" i="8" s="1"/>
  <c r="F131" i="8"/>
  <c r="F134" i="8"/>
  <c r="G134" i="8" s="1"/>
  <c r="F338" i="8"/>
  <c r="G338" i="8" s="1"/>
  <c r="F330" i="8"/>
  <c r="F139" i="8"/>
  <c r="G139" i="8" s="1"/>
  <c r="F132" i="8"/>
  <c r="G132" i="8" s="1"/>
  <c r="F347" i="8"/>
  <c r="G347" i="8" s="1"/>
  <c r="F332" i="8"/>
  <c r="G332" i="8" s="1"/>
  <c r="F146" i="8"/>
  <c r="G146" i="8" s="1"/>
  <c r="F140" i="8"/>
  <c r="G140" i="8" s="1"/>
  <c r="F353" i="8"/>
  <c r="G353" i="8" s="1"/>
  <c r="F351" i="8"/>
  <c r="F147" i="8"/>
  <c r="G147" i="8" s="1"/>
  <c r="F138" i="8"/>
  <c r="G138" i="8" s="1"/>
  <c r="F344" i="8"/>
  <c r="D283" i="8"/>
  <c r="F283" i="8" s="1"/>
  <c r="G283" i="8" s="1"/>
  <c r="F268" i="8"/>
  <c r="G268" i="8" s="1"/>
  <c r="F270" i="8"/>
  <c r="G270" i="8" s="1"/>
  <c r="F260" i="8"/>
  <c r="G260" i="8" s="1"/>
  <c r="F282" i="8"/>
  <c r="G282" i="8" s="1"/>
  <c r="D276" i="8"/>
  <c r="F276" i="8" s="1"/>
  <c r="G276" i="8" s="1"/>
  <c r="F274" i="8"/>
  <c r="G274" i="8" s="1"/>
  <c r="F262" i="8"/>
  <c r="G262" i="8" s="1"/>
  <c r="F277" i="8"/>
  <c r="G277" i="8" s="1"/>
  <c r="F269" i="8"/>
  <c r="G269" i="8" s="1"/>
  <c r="F284" i="8"/>
  <c r="G284" i="8" s="1"/>
  <c r="F267" i="8"/>
  <c r="G267" i="8" s="1"/>
  <c r="F833" i="8"/>
  <c r="F837" i="8" s="1"/>
  <c r="K51" i="12"/>
  <c r="F51" i="12" s="1"/>
  <c r="AG28" i="3"/>
  <c r="AF7" i="3" s="1"/>
  <c r="AF6" i="3" s="1"/>
  <c r="Q30" i="1" s="1"/>
  <c r="AG24" i="3"/>
  <c r="G501" i="8"/>
  <c r="D904" i="8"/>
  <c r="E904" i="8" s="1"/>
  <c r="G904" i="8" s="1"/>
  <c r="E903" i="8"/>
  <c r="G903" i="8" s="1"/>
  <c r="G174" i="8"/>
  <c r="G180" i="8" s="1"/>
  <c r="F1144" i="8"/>
  <c r="G124" i="8"/>
  <c r="G291" i="8"/>
  <c r="F1128" i="8"/>
  <c r="G158" i="8"/>
  <c r="G162" i="8" s="1"/>
  <c r="F162" i="8"/>
  <c r="F171" i="8"/>
  <c r="G165" i="8"/>
  <c r="G171" i="8" s="1"/>
  <c r="G183" i="8" l="1"/>
  <c r="G189" i="8" s="1"/>
  <c r="F180" i="8"/>
  <c r="G1114" i="8"/>
  <c r="F74" i="8"/>
  <c r="F83" i="8"/>
  <c r="G1104" i="8"/>
  <c r="G1139" i="8"/>
  <c r="G56" i="8"/>
  <c r="Q20" i="3"/>
  <c r="G65" i="8"/>
  <c r="E65" i="8"/>
  <c r="G83" i="8"/>
  <c r="E56" i="8"/>
  <c r="E74" i="8"/>
  <c r="E83" i="8"/>
  <c r="G57" i="7"/>
  <c r="N18" i="12" s="1"/>
  <c r="I18" i="12" s="1"/>
  <c r="F65" i="8"/>
  <c r="F993" i="8"/>
  <c r="F56" i="8"/>
  <c r="X62" i="3"/>
  <c r="X56" i="3"/>
  <c r="G1136" i="8"/>
  <c r="X66" i="3"/>
  <c r="G1133" i="8"/>
  <c r="G1155" i="8"/>
  <c r="F751" i="8"/>
  <c r="G751" i="8" s="1"/>
  <c r="F744" i="8"/>
  <c r="G744" i="8" s="1"/>
  <c r="F760" i="8"/>
  <c r="G760" i="8" s="1"/>
  <c r="G1107" i="8"/>
  <c r="G1110" i="8" s="1"/>
  <c r="X60" i="3"/>
  <c r="Q22" i="3"/>
  <c r="X18" i="3"/>
  <c r="X58" i="3" s="1"/>
  <c r="G1152" i="8"/>
  <c r="X70" i="3"/>
  <c r="X54" i="3"/>
  <c r="G18" i="4"/>
  <c r="D21" i="1" s="1"/>
  <c r="D25" i="1" s="1"/>
  <c r="F1058" i="8" s="1"/>
  <c r="Q18" i="3"/>
  <c r="F752" i="8"/>
  <c r="G752" i="8" s="1"/>
  <c r="F770" i="8"/>
  <c r="G770" i="8" s="1"/>
  <c r="F758" i="8"/>
  <c r="G758" i="8" s="1"/>
  <c r="F757" i="8"/>
  <c r="G757" i="8" s="1"/>
  <c r="F768" i="8"/>
  <c r="G768" i="8" s="1"/>
  <c r="J743" i="8"/>
  <c r="K743" i="8" s="1"/>
  <c r="Q24" i="3"/>
  <c r="F769" i="8"/>
  <c r="G769" i="8" s="1"/>
  <c r="D765" i="8"/>
  <c r="F765" i="8" s="1"/>
  <c r="G765" i="8" s="1"/>
  <c r="G21" i="4"/>
  <c r="F749" i="8"/>
  <c r="G749" i="8" s="1"/>
  <c r="F767" i="8"/>
  <c r="G767" i="8" s="1"/>
  <c r="F766" i="8"/>
  <c r="G766" i="8" s="1"/>
  <c r="J746" i="8"/>
  <c r="K746" i="8" s="1"/>
  <c r="J744" i="8"/>
  <c r="K744" i="8" s="1"/>
  <c r="G989" i="8"/>
  <c r="G997" i="8"/>
  <c r="F759" i="8"/>
  <c r="G759" i="8" s="1"/>
  <c r="F743" i="8"/>
  <c r="G743" i="8" s="1"/>
  <c r="G1123" i="8"/>
  <c r="G985" i="8"/>
  <c r="D257" i="7" s="1"/>
  <c r="N55" i="12" s="1"/>
  <c r="I55" i="12" s="1"/>
  <c r="F650" i="8"/>
  <c r="G650" i="8" s="1"/>
  <c r="F626" i="8"/>
  <c r="G626" i="8" s="1"/>
  <c r="F643" i="8"/>
  <c r="G643" i="8" s="1"/>
  <c r="F636" i="8"/>
  <c r="G636" i="8" s="1"/>
  <c r="F647" i="8"/>
  <c r="G647" i="8" s="1"/>
  <c r="F640" i="8"/>
  <c r="G640" i="8" s="1"/>
  <c r="D1399" i="8"/>
  <c r="D1401" i="8" s="1"/>
  <c r="H1401" i="8" s="1"/>
  <c r="K15" i="4"/>
  <c r="K21" i="4" s="1"/>
  <c r="F573" i="8"/>
  <c r="G573" i="8" s="1"/>
  <c r="F576" i="8"/>
  <c r="F633" i="8"/>
  <c r="G633" i="8" s="1"/>
  <c r="F831" i="8"/>
  <c r="G821" i="8"/>
  <c r="G825" i="8" s="1"/>
  <c r="D216" i="7" s="1"/>
  <c r="M47" i="12" s="1"/>
  <c r="H47" i="12" s="1"/>
  <c r="AB26" i="3"/>
  <c r="AB25" i="3"/>
  <c r="AB17" i="3"/>
  <c r="AB19" i="3"/>
  <c r="AB24" i="3"/>
  <c r="AB20" i="3"/>
  <c r="AB18" i="3"/>
  <c r="AB23" i="3"/>
  <c r="AB22" i="3"/>
  <c r="AB21" i="3"/>
  <c r="D916" i="8"/>
  <c r="E916" i="8" s="1"/>
  <c r="G916" i="8" s="1"/>
  <c r="G388" i="8"/>
  <c r="F997" i="8"/>
  <c r="K14" i="4"/>
  <c r="K20" i="4" s="1"/>
  <c r="F388" i="8"/>
  <c r="F985" i="8"/>
  <c r="E913" i="8"/>
  <c r="G913" i="8" s="1"/>
  <c r="F989" i="8"/>
  <c r="V7" i="3"/>
  <c r="V6" i="3" s="1"/>
  <c r="K30" i="1" s="1"/>
  <c r="C1022" i="8"/>
  <c r="D1041" i="8" s="1"/>
  <c r="E1041" i="8" s="1"/>
  <c r="G1041" i="8" s="1"/>
  <c r="K18" i="4"/>
  <c r="K24" i="4" s="1"/>
  <c r="G1094" i="8"/>
  <c r="I1094" i="8" s="1"/>
  <c r="E1124" i="8" s="1"/>
  <c r="G1126" i="8" s="1"/>
  <c r="K16" i="4"/>
  <c r="K22" i="4" s="1"/>
  <c r="K17" i="4"/>
  <c r="K23" i="4" s="1"/>
  <c r="G13" i="4"/>
  <c r="G12" i="4"/>
  <c r="E1254" i="8" s="1"/>
  <c r="E899" i="8"/>
  <c r="G899" i="8" s="1"/>
  <c r="D896" i="8"/>
  <c r="E896" i="8" s="1"/>
  <c r="G896" i="8" s="1"/>
  <c r="E929" i="8"/>
  <c r="G929" i="8" s="1"/>
  <c r="D920" i="8"/>
  <c r="E920" i="8" s="1"/>
  <c r="G920" i="8" s="1"/>
  <c r="G243" i="8"/>
  <c r="E909" i="8"/>
  <c r="G909" i="8" s="1"/>
  <c r="D924" i="8"/>
  <c r="E924" i="8" s="1"/>
  <c r="G924" i="8" s="1"/>
  <c r="G401" i="8"/>
  <c r="F367" i="8"/>
  <c r="F1380" i="8"/>
  <c r="G1362" i="8"/>
  <c r="G19" i="3" s="1"/>
  <c r="G7" i="3" s="1"/>
  <c r="G6" i="3" s="1"/>
  <c r="F30" i="1" s="1"/>
  <c r="D894" i="8"/>
  <c r="E894" i="8" s="1"/>
  <c r="G894" i="8" s="1"/>
  <c r="F1374" i="8"/>
  <c r="E905" i="8"/>
  <c r="G905" i="8" s="1"/>
  <c r="E1158" i="8"/>
  <c r="E1142" i="8"/>
  <c r="G1370" i="8"/>
  <c r="G1374" i="8" s="1"/>
  <c r="D202" i="7" s="1"/>
  <c r="N45" i="12" s="1"/>
  <c r="I45" i="12" s="1"/>
  <c r="F374" i="8"/>
  <c r="G1380" i="8"/>
  <c r="D203" i="7" s="1"/>
  <c r="O45" i="12" s="1"/>
  <c r="J45" i="12" s="1"/>
  <c r="F255" i="8"/>
  <c r="G1368" i="8"/>
  <c r="D201" i="7" s="1"/>
  <c r="K45" i="12" s="1"/>
  <c r="F45" i="12" s="1"/>
  <c r="G446" i="8"/>
  <c r="O12" i="3" s="1"/>
  <c r="O7" i="3" s="1"/>
  <c r="O6" i="3" s="1"/>
  <c r="H37" i="1" s="1"/>
  <c r="F298" i="8"/>
  <c r="F1368" i="8"/>
  <c r="G374" i="8"/>
  <c r="F1362" i="8"/>
  <c r="G499" i="8"/>
  <c r="G456" i="8"/>
  <c r="W7" i="3"/>
  <c r="W6" i="3" s="1"/>
  <c r="L30" i="1" s="1"/>
  <c r="G119" i="8"/>
  <c r="F446" i="8"/>
  <c r="G298" i="8"/>
  <c r="D193" i="7"/>
  <c r="O43" i="12" s="1"/>
  <c r="J43" i="12" s="1"/>
  <c r="F401" i="8"/>
  <c r="F356" i="8"/>
  <c r="F381" i="8"/>
  <c r="G367" i="8"/>
  <c r="M12" i="3" s="1"/>
  <c r="M7" i="3" s="1"/>
  <c r="M6" i="3" s="1"/>
  <c r="H35" i="1" s="1"/>
  <c r="G351" i="8"/>
  <c r="G356" i="8" s="1"/>
  <c r="G411" i="8"/>
  <c r="G219" i="8"/>
  <c r="F517" i="8"/>
  <c r="G517" i="8"/>
  <c r="F316" i="8"/>
  <c r="G325" i="8"/>
  <c r="G316" i="8"/>
  <c r="G228" i="8"/>
  <c r="G111" i="8"/>
  <c r="F466" i="8"/>
  <c r="G466" i="8"/>
  <c r="F499" i="8"/>
  <c r="G95" i="8"/>
  <c r="G210" i="8"/>
  <c r="G307" i="8"/>
  <c r="F228" i="8"/>
  <c r="F111" i="8"/>
  <c r="F490" i="8"/>
  <c r="F95" i="8"/>
  <c r="F307" i="8"/>
  <c r="G490" i="8"/>
  <c r="N27" i="3" s="1"/>
  <c r="N12" i="3" s="1"/>
  <c r="N7" i="3" s="1"/>
  <c r="N6" i="3" s="1"/>
  <c r="H36" i="1" s="1"/>
  <c r="G103" i="8"/>
  <c r="F476" i="8"/>
  <c r="G476" i="8"/>
  <c r="F456" i="8"/>
  <c r="F219" i="8"/>
  <c r="G376" i="8"/>
  <c r="G381" i="8" s="1"/>
  <c r="F103" i="8"/>
  <c r="G508" i="8"/>
  <c r="F325" i="8"/>
  <c r="G197" i="8"/>
  <c r="G201" i="8" s="1"/>
  <c r="F508" i="8"/>
  <c r="F210" i="8"/>
  <c r="F119" i="8"/>
  <c r="F243" i="8"/>
  <c r="F136" i="8"/>
  <c r="G249" i="8"/>
  <c r="F143" i="8"/>
  <c r="G251" i="8"/>
  <c r="G255" i="8" s="1"/>
  <c r="G143" i="8"/>
  <c r="F349" i="8"/>
  <c r="G131" i="8"/>
  <c r="G136" i="8" s="1"/>
  <c r="G421" i="8"/>
  <c r="F150" i="8"/>
  <c r="G150" i="8"/>
  <c r="F411" i="8"/>
  <c r="G431" i="8"/>
  <c r="F237" i="8"/>
  <c r="F431" i="8"/>
  <c r="F582" i="8"/>
  <c r="F583" i="8" s="1"/>
  <c r="G237" i="8"/>
  <c r="F421" i="8"/>
  <c r="F129" i="8"/>
  <c r="F579" i="8"/>
  <c r="G579" i="8" s="1"/>
  <c r="G580" i="8" s="1"/>
  <c r="F279" i="8"/>
  <c r="G129" i="8"/>
  <c r="G279" i="8"/>
  <c r="F335" i="8"/>
  <c r="F249" i="8"/>
  <c r="G272" i="8"/>
  <c r="G265" i="8"/>
  <c r="G344" i="8"/>
  <c r="G349" i="8" s="1"/>
  <c r="G833" i="8"/>
  <c r="G837" i="8" s="1"/>
  <c r="D218" i="7" s="1"/>
  <c r="O47" i="12" s="1"/>
  <c r="J47" i="12" s="1"/>
  <c r="G330" i="8"/>
  <c r="G335" i="8" s="1"/>
  <c r="L16" i="3" s="1"/>
  <c r="L14" i="3" s="1"/>
  <c r="L12" i="3" s="1"/>
  <c r="L7" i="3" s="1"/>
  <c r="L6" i="3" s="1"/>
  <c r="H34" i="1" s="1"/>
  <c r="G342" i="8"/>
  <c r="F272" i="8"/>
  <c r="F342" i="8"/>
  <c r="G286" i="8"/>
  <c r="F286" i="8"/>
  <c r="F265" i="8"/>
  <c r="D101" i="7"/>
  <c r="K27" i="12" s="1"/>
  <c r="F27" i="12" s="1"/>
  <c r="K748" i="8"/>
  <c r="D191" i="7"/>
  <c r="M43" i="12" s="1"/>
  <c r="H43" i="12" s="1"/>
  <c r="J630" i="8"/>
  <c r="K629" i="8"/>
  <c r="G893" i="8"/>
  <c r="G923" i="8"/>
  <c r="G1146" i="8"/>
  <c r="F1158" i="8"/>
  <c r="D102" i="7"/>
  <c r="N27" i="12" s="1"/>
  <c r="I27" i="12" s="1"/>
  <c r="F1142" i="8"/>
  <c r="G1130" i="8"/>
  <c r="G906" i="8"/>
  <c r="D192" i="7"/>
  <c r="N43" i="12" s="1"/>
  <c r="I43" i="12" s="1"/>
  <c r="D103" i="7"/>
  <c r="O27" i="12" s="1"/>
  <c r="J27" i="12" s="1"/>
  <c r="G60" i="12"/>
  <c r="D68" i="7" l="1"/>
  <c r="D266" i="7"/>
  <c r="M57" i="12" s="1"/>
  <c r="H57" i="12" s="1"/>
  <c r="D52" i="7"/>
  <c r="G52" i="7" s="1"/>
  <c r="N17" i="12" s="1"/>
  <c r="I17" i="12" s="1"/>
  <c r="D51" i="7"/>
  <c r="G51" i="7" s="1"/>
  <c r="K17" i="12" s="1"/>
  <c r="F17" i="12" s="1"/>
  <c r="D53" i="7"/>
  <c r="G53" i="7" s="1"/>
  <c r="O17" i="12" s="1"/>
  <c r="J17" i="12" s="1"/>
  <c r="D61" i="7"/>
  <c r="G61" i="7" s="1"/>
  <c r="D66" i="7"/>
  <c r="D57" i="7"/>
  <c r="D67" i="7"/>
  <c r="D72" i="7" s="1"/>
  <c r="D62" i="7"/>
  <c r="G62" i="7" s="1"/>
  <c r="N19" i="12" s="1"/>
  <c r="I19" i="12" s="1"/>
  <c r="D63" i="7"/>
  <c r="G63" i="7" s="1"/>
  <c r="O19" i="12" s="1"/>
  <c r="J19" i="12" s="1"/>
  <c r="D83" i="7"/>
  <c r="D88" i="7"/>
  <c r="D73" i="7"/>
  <c r="G68" i="7"/>
  <c r="O20" i="12" s="1"/>
  <c r="J20" i="12" s="1"/>
  <c r="D93" i="7"/>
  <c r="D78" i="7"/>
  <c r="G58" i="7"/>
  <c r="O18" i="12" s="1"/>
  <c r="J18" i="12" s="1"/>
  <c r="D58" i="7"/>
  <c r="I69" i="8"/>
  <c r="G56" i="7"/>
  <c r="K18" i="12" s="1"/>
  <c r="D56" i="7"/>
  <c r="G747" i="8"/>
  <c r="Q32" i="3" s="1"/>
  <c r="F763" i="8"/>
  <c r="G763" i="8"/>
  <c r="G755" i="8"/>
  <c r="Q28" i="3"/>
  <c r="X7" i="3"/>
  <c r="X6" i="3" s="1"/>
  <c r="M30" i="1" s="1"/>
  <c r="D258" i="7"/>
  <c r="O55" i="12" s="1"/>
  <c r="J55" i="12" s="1"/>
  <c r="G771" i="8"/>
  <c r="Q30" i="3"/>
  <c r="D256" i="7"/>
  <c r="M55" i="12" s="1"/>
  <c r="H55" i="12" s="1"/>
  <c r="F755" i="8"/>
  <c r="F771" i="8"/>
  <c r="J745" i="8"/>
  <c r="K745" i="8" s="1"/>
  <c r="F747" i="8"/>
  <c r="F7" i="3"/>
  <c r="F6" i="3" s="1"/>
  <c r="E30" i="1" s="1"/>
  <c r="G1407" i="8"/>
  <c r="G1409" i="8" s="1"/>
  <c r="G1403" i="8"/>
  <c r="G1405" i="8" s="1"/>
  <c r="G1411" i="8"/>
  <c r="G1413" i="8" s="1"/>
  <c r="G1415" i="8"/>
  <c r="G1417" i="8" s="1"/>
  <c r="D138" i="7"/>
  <c r="O34" i="12" s="1"/>
  <c r="J34" i="12" s="1"/>
  <c r="K47" i="12"/>
  <c r="F47" i="12" s="1"/>
  <c r="F588" i="8"/>
  <c r="J592" i="8" s="1"/>
  <c r="K592" i="8" s="1"/>
  <c r="F577" i="8"/>
  <c r="G576" i="8"/>
  <c r="G577" i="8" s="1"/>
  <c r="Q12" i="3"/>
  <c r="Q7" i="3" s="1"/>
  <c r="Q6" i="3" s="1"/>
  <c r="H39" i="1" s="1"/>
  <c r="AA13" i="3"/>
  <c r="D152" i="7"/>
  <c r="N37" i="12" s="1"/>
  <c r="I37" i="12" s="1"/>
  <c r="D15" i="1"/>
  <c r="E1140" i="8"/>
  <c r="G1142" i="8" s="1"/>
  <c r="D267" i="7" s="1"/>
  <c r="N57" i="12" s="1"/>
  <c r="I57" i="12" s="1"/>
  <c r="D1049" i="8"/>
  <c r="E1049" i="8" s="1"/>
  <c r="G1049" i="8" s="1"/>
  <c r="E1156" i="8"/>
  <c r="H1149" i="8" s="1"/>
  <c r="J1150" i="8" s="1"/>
  <c r="D1033" i="8"/>
  <c r="E1033" i="8" s="1"/>
  <c r="G1033" i="8" s="1"/>
  <c r="E1385" i="8"/>
  <c r="G1395" i="8" s="1"/>
  <c r="G1396" i="8" s="1"/>
  <c r="D1025" i="8"/>
  <c r="E1025" i="8" s="1"/>
  <c r="G1025" i="8" s="1"/>
  <c r="D1040" i="8"/>
  <c r="E1040" i="8" s="1"/>
  <c r="G1040" i="8" s="1"/>
  <c r="D1048" i="8"/>
  <c r="E1048" i="8" s="1"/>
  <c r="G1048" i="8" s="1"/>
  <c r="J1023" i="8"/>
  <c r="J1024" i="8" s="1"/>
  <c r="D1024" i="8"/>
  <c r="E1024" i="8" s="1"/>
  <c r="G1024" i="8" s="1"/>
  <c r="D1032" i="8"/>
  <c r="E1032" i="8" s="1"/>
  <c r="G1032" i="8" s="1"/>
  <c r="D137" i="7"/>
  <c r="N34" i="12" s="1"/>
  <c r="I34" i="12" s="1"/>
  <c r="D136" i="7"/>
  <c r="K34" i="12" s="1"/>
  <c r="F34" i="12" s="1"/>
  <c r="G921" i="8"/>
  <c r="E931" i="8"/>
  <c r="E921" i="8"/>
  <c r="G931" i="8"/>
  <c r="D161" i="7"/>
  <c r="K39" i="12" s="1"/>
  <c r="F39" i="12" s="1"/>
  <c r="D98" i="7"/>
  <c r="O26" i="12" s="1"/>
  <c r="J26" i="12" s="1"/>
  <c r="G911" i="8"/>
  <c r="E911" i="8"/>
  <c r="G901" i="8"/>
  <c r="E901" i="8"/>
  <c r="D132" i="7"/>
  <c r="N33" i="12" s="1"/>
  <c r="I33" i="12" s="1"/>
  <c r="E6" i="7"/>
  <c r="M8" i="12" s="1"/>
  <c r="H8" i="12" s="1"/>
  <c r="E8" i="7"/>
  <c r="O8" i="12" s="1"/>
  <c r="J8" i="12" s="1"/>
  <c r="D146" i="7"/>
  <c r="M36" i="12" s="1"/>
  <c r="H36" i="12" s="1"/>
  <c r="D128" i="7"/>
  <c r="O32" i="12" s="1"/>
  <c r="J32" i="12" s="1"/>
  <c r="D156" i="7"/>
  <c r="M38" i="12" s="1"/>
  <c r="H38" i="12" s="1"/>
  <c r="D147" i="7"/>
  <c r="N36" i="12" s="1"/>
  <c r="I36" i="12" s="1"/>
  <c r="D157" i="7"/>
  <c r="N38" i="12" s="1"/>
  <c r="I38" i="12" s="1"/>
  <c r="M45" i="12"/>
  <c r="H45" i="12" s="1"/>
  <c r="D133" i="7"/>
  <c r="O33" i="12" s="1"/>
  <c r="J33" i="12" s="1"/>
  <c r="D153" i="7"/>
  <c r="O37" i="12" s="1"/>
  <c r="J37" i="12" s="1"/>
  <c r="D151" i="7"/>
  <c r="K37" i="12" s="1"/>
  <c r="F37" i="12" s="1"/>
  <c r="D158" i="7"/>
  <c r="O38" i="12" s="1"/>
  <c r="J38" i="12" s="1"/>
  <c r="D131" i="7"/>
  <c r="M33" i="12" s="1"/>
  <c r="H33" i="12" s="1"/>
  <c r="D162" i="7"/>
  <c r="N39" i="12" s="1"/>
  <c r="I39" i="12" s="1"/>
  <c r="D148" i="7"/>
  <c r="O36" i="12" s="1"/>
  <c r="J36" i="12" s="1"/>
  <c r="E7" i="7"/>
  <c r="N8" i="12" s="1"/>
  <c r="I8" i="12" s="1"/>
  <c r="D122" i="7"/>
  <c r="N31" i="12" s="1"/>
  <c r="I31" i="12" s="1"/>
  <c r="D163" i="7"/>
  <c r="O39" i="12" s="1"/>
  <c r="J39" i="12" s="1"/>
  <c r="F580" i="8"/>
  <c r="D121" i="7"/>
  <c r="K31" i="12" s="1"/>
  <c r="F31" i="12" s="1"/>
  <c r="D96" i="7"/>
  <c r="K26" i="12" s="1"/>
  <c r="F26" i="12" s="1"/>
  <c r="D126" i="7"/>
  <c r="M32" i="12" s="1"/>
  <c r="H32" i="12" s="1"/>
  <c r="D142" i="7"/>
  <c r="N35" i="12" s="1"/>
  <c r="I35" i="12" s="1"/>
  <c r="D123" i="7"/>
  <c r="O31" i="12" s="1"/>
  <c r="J31" i="12" s="1"/>
  <c r="D141" i="7"/>
  <c r="M35" i="12" s="1"/>
  <c r="H35" i="12" s="1"/>
  <c r="D97" i="7"/>
  <c r="N26" i="12" s="1"/>
  <c r="I26" i="12" s="1"/>
  <c r="D127" i="7"/>
  <c r="N32" i="12" s="1"/>
  <c r="I32" i="12" s="1"/>
  <c r="D143" i="7"/>
  <c r="O35" i="12" s="1"/>
  <c r="J35" i="12" s="1"/>
  <c r="F574" i="8"/>
  <c r="G574" i="8"/>
  <c r="G582" i="8"/>
  <c r="G583" i="8" s="1"/>
  <c r="M27" i="12"/>
  <c r="H27" i="12" s="1"/>
  <c r="K35" i="12"/>
  <c r="F35" i="12" s="1"/>
  <c r="K43" i="12"/>
  <c r="F43" i="12" s="1"/>
  <c r="H1123" i="8"/>
  <c r="J1123" i="8" s="1"/>
  <c r="H1120" i="8"/>
  <c r="D1262" i="8"/>
  <c r="G1262" i="8" s="1"/>
  <c r="G1263" i="8" s="1"/>
  <c r="D298" i="7" s="1"/>
  <c r="D1259" i="8"/>
  <c r="G1259" i="8" s="1"/>
  <c r="G1260" i="8" s="1"/>
  <c r="D297" i="7" s="1"/>
  <c r="G66" i="12" s="1"/>
  <c r="D1265" i="8"/>
  <c r="G1265" i="8" s="1"/>
  <c r="G1266" i="8" s="1"/>
  <c r="D299" i="7" s="1"/>
  <c r="H1114" i="8"/>
  <c r="K630" i="8"/>
  <c r="J631" i="8"/>
  <c r="H1117" i="8"/>
  <c r="K57" i="12" l="1"/>
  <c r="F57" i="12" s="1"/>
  <c r="M17" i="12"/>
  <c r="H17" i="12" s="1"/>
  <c r="K55" i="12"/>
  <c r="F55" i="12" s="1"/>
  <c r="D77" i="7"/>
  <c r="G77" i="7" s="1"/>
  <c r="N22" i="12" s="1"/>
  <c r="I22" i="12" s="1"/>
  <c r="D92" i="7"/>
  <c r="G92" i="7" s="1"/>
  <c r="N25" i="12" s="1"/>
  <c r="I25" i="12" s="1"/>
  <c r="D82" i="7"/>
  <c r="G67" i="7"/>
  <c r="N20" i="12" s="1"/>
  <c r="I20" i="12" s="1"/>
  <c r="D87" i="7"/>
  <c r="G87" i="7" s="1"/>
  <c r="N24" i="12" s="1"/>
  <c r="I24" i="12" s="1"/>
  <c r="K19" i="12"/>
  <c r="F19" i="12" s="1"/>
  <c r="M19" i="12"/>
  <c r="H19" i="12" s="1"/>
  <c r="G78" i="7"/>
  <c r="O22" i="12" s="1"/>
  <c r="J22" i="12" s="1"/>
  <c r="G93" i="7"/>
  <c r="O25" i="12" s="1"/>
  <c r="J25" i="12" s="1"/>
  <c r="G82" i="7"/>
  <c r="N23" i="12" s="1"/>
  <c r="I23" i="12" s="1"/>
  <c r="G73" i="7"/>
  <c r="O21" i="12" s="1"/>
  <c r="J21" i="12" s="1"/>
  <c r="G72" i="7"/>
  <c r="N21" i="12" s="1"/>
  <c r="I21" i="12" s="1"/>
  <c r="G88" i="7"/>
  <c r="O24" i="12" s="1"/>
  <c r="J24" i="12" s="1"/>
  <c r="G83" i="7"/>
  <c r="O23" i="12" s="1"/>
  <c r="J23" i="12" s="1"/>
  <c r="G66" i="7"/>
  <c r="K20" i="12" s="1"/>
  <c r="D91" i="7"/>
  <c r="D71" i="7"/>
  <c r="D81" i="7"/>
  <c r="D86" i="7"/>
  <c r="D76" i="7"/>
  <c r="M18" i="12"/>
  <c r="H18" i="12" s="1"/>
  <c r="F18" i="12"/>
  <c r="D168" i="7"/>
  <c r="O40" i="12" s="1"/>
  <c r="J40" i="12" s="1"/>
  <c r="D166" i="7"/>
  <c r="D167" i="7"/>
  <c r="N40" i="12" s="1"/>
  <c r="I40" i="12" s="1"/>
  <c r="H1136" i="8"/>
  <c r="I1137" i="8" s="1"/>
  <c r="D213" i="7"/>
  <c r="O66" i="12" s="1"/>
  <c r="J66" i="12" s="1"/>
  <c r="D212" i="7"/>
  <c r="N66" i="12" s="1"/>
  <c r="I66" i="12" s="1"/>
  <c r="F628" i="8"/>
  <c r="G628" i="8" s="1"/>
  <c r="F607" i="8"/>
  <c r="G607" i="8" s="1"/>
  <c r="D17" i="1"/>
  <c r="I714" i="8" s="1"/>
  <c r="E1219" i="8"/>
  <c r="E1233" i="8" s="1"/>
  <c r="G1233" i="8" s="1"/>
  <c r="G1235" i="8" s="1"/>
  <c r="D283" i="7" s="1"/>
  <c r="O60" i="12" s="1"/>
  <c r="D211" i="7"/>
  <c r="M66" i="12" s="1"/>
  <c r="H66" i="12" s="1"/>
  <c r="O65" i="12"/>
  <c r="J65" i="12" s="1"/>
  <c r="N65" i="12"/>
  <c r="I65" i="12" s="1"/>
  <c r="F599" i="8"/>
  <c r="G599" i="8" s="1"/>
  <c r="F606" i="8"/>
  <c r="G606" i="8" s="1"/>
  <c r="F592" i="8"/>
  <c r="G592" i="8" s="1"/>
  <c r="F598" i="8"/>
  <c r="G598" i="8" s="1"/>
  <c r="Z15" i="3"/>
  <c r="Z7" i="3" s="1"/>
  <c r="Z6" i="3" s="1"/>
  <c r="O30" i="1" s="1"/>
  <c r="Z13" i="3"/>
  <c r="F602" i="8"/>
  <c r="G602" i="8" s="1"/>
  <c r="J594" i="8"/>
  <c r="K594" i="8" s="1"/>
  <c r="F639" i="8"/>
  <c r="G639" i="8" s="1"/>
  <c r="F648" i="8"/>
  <c r="G648" i="8" s="1"/>
  <c r="F614" i="8"/>
  <c r="G614" i="8" s="1"/>
  <c r="F610" i="8"/>
  <c r="G610" i="8" s="1"/>
  <c r="F642" i="8"/>
  <c r="G642" i="8" s="1"/>
  <c r="F646" i="8"/>
  <c r="G646" i="8" s="1"/>
  <c r="F613" i="8"/>
  <c r="G613" i="8" s="1"/>
  <c r="F608" i="8"/>
  <c r="G608" i="8" s="1"/>
  <c r="F617" i="8"/>
  <c r="G617" i="8" s="1"/>
  <c r="F615" i="8"/>
  <c r="G615" i="8" s="1"/>
  <c r="F605" i="8"/>
  <c r="G605" i="8" s="1"/>
  <c r="F634" i="8"/>
  <c r="G634" i="8" s="1"/>
  <c r="J593" i="8"/>
  <c r="K593" i="8" s="1"/>
  <c r="F589" i="8"/>
  <c r="G589" i="8" s="1"/>
  <c r="F625" i="8"/>
  <c r="G625" i="8" s="1"/>
  <c r="F616" i="8"/>
  <c r="G616" i="8" s="1"/>
  <c r="F597" i="8"/>
  <c r="G597" i="8" s="1"/>
  <c r="F632" i="8"/>
  <c r="G632" i="8" s="1"/>
  <c r="F618" i="8"/>
  <c r="G618" i="8" s="1"/>
  <c r="F627" i="8"/>
  <c r="G627" i="8" s="1"/>
  <c r="F609" i="8"/>
  <c r="G609" i="8" s="1"/>
  <c r="F649" i="8"/>
  <c r="G649" i="8" s="1"/>
  <c r="J595" i="8"/>
  <c r="K595" i="8" s="1"/>
  <c r="F641" i="8"/>
  <c r="G641" i="8" s="1"/>
  <c r="F600" i="8"/>
  <c r="G600" i="8" s="1"/>
  <c r="F635" i="8"/>
  <c r="G635" i="8" s="1"/>
  <c r="F591" i="8"/>
  <c r="G591" i="8" s="1"/>
  <c r="H1133" i="8"/>
  <c r="J1134" i="8" s="1"/>
  <c r="AA7" i="3"/>
  <c r="AA6" i="3" s="1"/>
  <c r="U30" i="1" s="1"/>
  <c r="H1139" i="8"/>
  <c r="J1139" i="8" s="1"/>
  <c r="I1150" i="8"/>
  <c r="H1130" i="8"/>
  <c r="I1131" i="8" s="1"/>
  <c r="G1392" i="8"/>
  <c r="G1393" i="8" s="1"/>
  <c r="G1386" i="8"/>
  <c r="G1387" i="8" s="1"/>
  <c r="AJ13" i="3" s="1"/>
  <c r="G1389" i="8"/>
  <c r="G1390" i="8" s="1"/>
  <c r="K33" i="12"/>
  <c r="F33" i="12" s="1"/>
  <c r="H1146" i="8"/>
  <c r="I1147" i="8" s="1"/>
  <c r="H1155" i="8"/>
  <c r="I1156" i="8" s="1"/>
  <c r="H1152" i="8"/>
  <c r="J1153" i="8" s="1"/>
  <c r="G1158" i="8"/>
  <c r="D268" i="7" s="1"/>
  <c r="O57" i="12" s="1"/>
  <c r="J57" i="12" s="1"/>
  <c r="M34" i="12"/>
  <c r="H34" i="12" s="1"/>
  <c r="E1162" i="8"/>
  <c r="E1213" i="8" s="1"/>
  <c r="F1213" i="8" s="1"/>
  <c r="G1213" i="8" s="1"/>
  <c r="G1022" i="8"/>
  <c r="D1053" i="8" s="1"/>
  <c r="E1053" i="8" s="1"/>
  <c r="G1053" i="8" s="1"/>
  <c r="M39" i="12"/>
  <c r="H39" i="12" s="1"/>
  <c r="D228" i="7"/>
  <c r="O49" i="12" s="1"/>
  <c r="J49" i="12" s="1"/>
  <c r="D226" i="7"/>
  <c r="M49" i="12" s="1"/>
  <c r="H49" i="12" s="1"/>
  <c r="K8" i="12"/>
  <c r="D227" i="7"/>
  <c r="N49" i="12" s="1"/>
  <c r="I49" i="12" s="1"/>
  <c r="M26" i="12"/>
  <c r="H26" i="12" s="1"/>
  <c r="K38" i="12"/>
  <c r="F38" i="12" s="1"/>
  <c r="K36" i="12"/>
  <c r="F36" i="12" s="1"/>
  <c r="M37" i="12"/>
  <c r="H37" i="12" s="1"/>
  <c r="M31" i="12"/>
  <c r="H31" i="12" s="1"/>
  <c r="K32" i="12"/>
  <c r="F32" i="12" s="1"/>
  <c r="D183" i="7"/>
  <c r="O41" i="12" s="1"/>
  <c r="J41" i="12" s="1"/>
  <c r="D182" i="7"/>
  <c r="N41" i="12" s="1"/>
  <c r="I41" i="12" s="1"/>
  <c r="D181" i="7"/>
  <c r="I1123" i="8"/>
  <c r="J632" i="8"/>
  <c r="K632" i="8" s="1"/>
  <c r="K631" i="8"/>
  <c r="J1115" i="8"/>
  <c r="I1115" i="8"/>
  <c r="I1118" i="8"/>
  <c r="J1118" i="8"/>
  <c r="M65" i="12"/>
  <c r="H65" i="12" s="1"/>
  <c r="K65" i="12"/>
  <c r="F65" i="12" s="1"/>
  <c r="J1121" i="8"/>
  <c r="I1121" i="8"/>
  <c r="J1137" i="8" l="1"/>
  <c r="K597" i="8"/>
  <c r="F8" i="12"/>
  <c r="G71" i="7"/>
  <c r="K21" i="12" s="1"/>
  <c r="F21" i="12" s="1"/>
  <c r="G91" i="7"/>
  <c r="K25" i="12" s="1"/>
  <c r="F25" i="12" s="1"/>
  <c r="G76" i="7"/>
  <c r="K22" i="12" s="1"/>
  <c r="F22" i="12" s="1"/>
  <c r="G81" i="7"/>
  <c r="M23" i="12" s="1"/>
  <c r="H23" i="12" s="1"/>
  <c r="G86" i="7"/>
  <c r="K24" i="12" s="1"/>
  <c r="F24" i="12" s="1"/>
  <c r="K66" i="12"/>
  <c r="F66" i="12" s="1"/>
  <c r="M40" i="12"/>
  <c r="H40" i="12" s="1"/>
  <c r="K40" i="12"/>
  <c r="F40" i="12" s="1"/>
  <c r="F20" i="12"/>
  <c r="M20" i="12"/>
  <c r="H20" i="12" s="1"/>
  <c r="C1088" i="8"/>
  <c r="G1088" i="8" s="1"/>
  <c r="C1080" i="8"/>
  <c r="G1080" i="8" s="1"/>
  <c r="G714" i="8"/>
  <c r="G725" i="8" s="1"/>
  <c r="I1134" i="8"/>
  <c r="G630" i="8"/>
  <c r="G637" i="8"/>
  <c r="F637" i="8"/>
  <c r="C25" i="1"/>
  <c r="C26" i="1" s="1"/>
  <c r="F2" i="1" s="1"/>
  <c r="H2" i="1" s="1"/>
  <c r="G611" i="8"/>
  <c r="G603" i="8"/>
  <c r="F611" i="8"/>
  <c r="F603" i="8"/>
  <c r="F644" i="8"/>
  <c r="G644" i="8"/>
  <c r="G619" i="8"/>
  <c r="G595" i="8"/>
  <c r="F651" i="8"/>
  <c r="G651" i="8"/>
  <c r="F630" i="8"/>
  <c r="F619" i="8"/>
  <c r="F595" i="8"/>
  <c r="C3" i="3"/>
  <c r="J1147" i="8"/>
  <c r="C2" i="3"/>
  <c r="E1229" i="8"/>
  <c r="G1229" i="8" s="1"/>
  <c r="G1231" i="8" s="1"/>
  <c r="D282" i="7" s="1"/>
  <c r="N60" i="12" s="1"/>
  <c r="E1225" i="8"/>
  <c r="G1225" i="8" s="1"/>
  <c r="G1227" i="8" s="1"/>
  <c r="D281" i="7" s="1"/>
  <c r="M60" i="12" s="1"/>
  <c r="H60" i="12" s="1"/>
  <c r="D289" i="7"/>
  <c r="O64" i="12" s="1"/>
  <c r="J64" i="12" s="1"/>
  <c r="I1139" i="8"/>
  <c r="D1209" i="8"/>
  <c r="E1193" i="8"/>
  <c r="F1193" i="8" s="1"/>
  <c r="G1193" i="8" s="1"/>
  <c r="E1211" i="8"/>
  <c r="F1211" i="8" s="1"/>
  <c r="G1211" i="8" s="1"/>
  <c r="E1180" i="8"/>
  <c r="F1180" i="8" s="1"/>
  <c r="G1180" i="8" s="1"/>
  <c r="G1189" i="8" s="1"/>
  <c r="D271" i="7" s="1"/>
  <c r="M58" i="12" s="1"/>
  <c r="H58" i="12" s="1"/>
  <c r="D1044" i="8"/>
  <c r="E1044" i="8" s="1"/>
  <c r="G1044" i="8" s="1"/>
  <c r="D1029" i="8"/>
  <c r="E1029" i="8" s="1"/>
  <c r="G1029" i="8" s="1"/>
  <c r="J1131" i="8"/>
  <c r="D287" i="7"/>
  <c r="M64" i="12" s="1"/>
  <c r="H64" i="12" s="1"/>
  <c r="D288" i="7"/>
  <c r="N64" i="12" s="1"/>
  <c r="I64" i="12" s="1"/>
  <c r="D1045" i="8"/>
  <c r="E1045" i="8" s="1"/>
  <c r="G1045" i="8" s="1"/>
  <c r="D1036" i="8"/>
  <c r="E1036" i="8" s="1"/>
  <c r="G1036" i="8" s="1"/>
  <c r="D1028" i="8"/>
  <c r="E1028" i="8" s="1"/>
  <c r="G1028" i="8" s="1"/>
  <c r="D1052" i="8"/>
  <c r="E1052" i="8" s="1"/>
  <c r="G1052" i="8" s="1"/>
  <c r="D1037" i="8"/>
  <c r="E1037" i="8" s="1"/>
  <c r="G1037" i="8" s="1"/>
  <c r="E1206" i="8"/>
  <c r="F1206" i="8" s="1"/>
  <c r="G1206" i="8" s="1"/>
  <c r="E1194" i="8"/>
  <c r="F1194" i="8" s="1"/>
  <c r="G1194" i="8" s="1"/>
  <c r="I1153" i="8"/>
  <c r="J1156" i="8"/>
  <c r="D1060" i="8"/>
  <c r="C1078" i="8"/>
  <c r="G1076" i="8" s="1"/>
  <c r="C1072" i="8"/>
  <c r="C1086" i="8"/>
  <c r="G1085" i="8" s="1"/>
  <c r="C1070" i="8"/>
  <c r="D1061" i="8"/>
  <c r="D1070" i="8"/>
  <c r="D1069" i="8"/>
  <c r="D1086" i="8"/>
  <c r="D1078" i="8"/>
  <c r="C1062" i="8"/>
  <c r="D1062" i="8"/>
  <c r="K634" i="8"/>
  <c r="F1209" i="8" s="1"/>
  <c r="K49" i="12"/>
  <c r="F49" i="12" s="1"/>
  <c r="M41" i="12"/>
  <c r="H41" i="12" s="1"/>
  <c r="K41" i="12"/>
  <c r="F41" i="12" s="1"/>
  <c r="D116" i="7" l="1"/>
  <c r="M30" i="12" s="1"/>
  <c r="H30" i="12" s="1"/>
  <c r="M21" i="12"/>
  <c r="H21" i="12" s="1"/>
  <c r="M25" i="12"/>
  <c r="H25" i="12" s="1"/>
  <c r="M24" i="12"/>
  <c r="H24" i="12" s="1"/>
  <c r="K23" i="12"/>
  <c r="F23" i="12" s="1"/>
  <c r="M22" i="12"/>
  <c r="H22" i="12" s="1"/>
  <c r="D117" i="7"/>
  <c r="N30" i="12" s="1"/>
  <c r="I30" i="12" s="1"/>
  <c r="D111" i="7"/>
  <c r="M29" i="12" s="1"/>
  <c r="H29" i="12" s="1"/>
  <c r="D118" i="7"/>
  <c r="O30" i="12" s="1"/>
  <c r="J30" i="12" s="1"/>
  <c r="D112" i="7"/>
  <c r="N29" i="12" s="1"/>
  <c r="I29" i="12" s="1"/>
  <c r="E1022" i="8"/>
  <c r="D1035" i="8" s="1"/>
  <c r="E1035" i="8" s="1"/>
  <c r="G1035" i="8" s="1"/>
  <c r="G720" i="8"/>
  <c r="D196" i="7" s="1"/>
  <c r="G730" i="8"/>
  <c r="G735" i="8"/>
  <c r="C1" i="1"/>
  <c r="G2" i="12"/>
  <c r="I2" i="12" s="1"/>
  <c r="D113" i="7"/>
  <c r="O29" i="12" s="1"/>
  <c r="J29" i="12" s="1"/>
  <c r="C4" i="3"/>
  <c r="E2" i="1"/>
  <c r="G2" i="1" s="1"/>
  <c r="F2" i="12"/>
  <c r="K60" i="12"/>
  <c r="F60" i="12" s="1"/>
  <c r="G1209" i="8"/>
  <c r="K64" i="12"/>
  <c r="F64" i="12" s="1"/>
  <c r="G1078" i="8"/>
  <c r="G1086" i="8"/>
  <c r="G1084" i="8"/>
  <c r="G1087" i="8" s="1"/>
  <c r="D1089" i="8"/>
  <c r="G1089" i="8" s="1"/>
  <c r="D1073" i="8"/>
  <c r="E1208" i="8" s="1"/>
  <c r="F1208" i="8" s="1"/>
  <c r="G1208" i="8" s="1"/>
  <c r="G1062" i="8"/>
  <c r="G1068" i="8"/>
  <c r="G1072" i="8"/>
  <c r="D1081" i="8"/>
  <c r="G1081" i="8" s="1"/>
  <c r="G1069" i="8"/>
  <c r="G1060" i="8"/>
  <c r="G1070" i="8"/>
  <c r="G1077" i="8"/>
  <c r="G1079" i="8" s="1"/>
  <c r="G1061" i="8"/>
  <c r="K30" i="12" l="1"/>
  <c r="F30" i="12" s="1"/>
  <c r="K29" i="12"/>
  <c r="F29" i="12" s="1"/>
  <c r="D197" i="7"/>
  <c r="N44" i="12" s="1"/>
  <c r="I44" i="12" s="1"/>
  <c r="D198" i="7"/>
  <c r="O44" i="12" s="1"/>
  <c r="J44" i="12" s="1"/>
  <c r="D1034" i="8"/>
  <c r="E1034" i="8" s="1"/>
  <c r="G1034" i="8" s="1"/>
  <c r="G1038" i="8" s="1"/>
  <c r="D1051" i="8"/>
  <c r="E1051" i="8" s="1"/>
  <c r="G1051" i="8" s="1"/>
  <c r="D1026" i="8"/>
  <c r="E1026" i="8" s="1"/>
  <c r="G1026" i="8" s="1"/>
  <c r="D1043" i="8"/>
  <c r="E1043" i="8" s="1"/>
  <c r="G1043" i="8" s="1"/>
  <c r="D1027" i="8"/>
  <c r="E1027" i="8" s="1"/>
  <c r="G1027" i="8" s="1"/>
  <c r="D1050" i="8"/>
  <c r="E1050" i="8" s="1"/>
  <c r="G1050" i="8" s="1"/>
  <c r="D1042" i="8"/>
  <c r="E1042" i="8" s="1"/>
  <c r="G1042" i="8" s="1"/>
  <c r="H2" i="12"/>
  <c r="E1195" i="8"/>
  <c r="F1195" i="8" s="1"/>
  <c r="G1195" i="8" s="1"/>
  <c r="G1202" i="8" s="1"/>
  <c r="D272" i="7" s="1"/>
  <c r="N58" i="12" s="1"/>
  <c r="I58" i="12" s="1"/>
  <c r="F1001" i="8"/>
  <c r="G1004" i="8" s="1"/>
  <c r="G1215" i="8"/>
  <c r="D273" i="7" s="1"/>
  <c r="O58" i="12" s="1"/>
  <c r="J58" i="12" s="1"/>
  <c r="G1090" i="8"/>
  <c r="G1073" i="8"/>
  <c r="G1071" i="8"/>
  <c r="G1063" i="8"/>
  <c r="G1066" i="8" s="1"/>
  <c r="G1082" i="8"/>
  <c r="M44" i="12"/>
  <c r="H44" i="12" s="1"/>
  <c r="K44" i="12"/>
  <c r="F44" i="12" s="1"/>
  <c r="K58" i="12"/>
  <c r="F58" i="12" s="1"/>
  <c r="G1054" i="8" l="1"/>
  <c r="E1038" i="8"/>
  <c r="G1046" i="8"/>
  <c r="E1054" i="8"/>
  <c r="E1030" i="8"/>
  <c r="E1046" i="8"/>
  <c r="G1012" i="8"/>
  <c r="G1030" i="8"/>
  <c r="D206" i="7" s="1"/>
  <c r="M62" i="12" s="1"/>
  <c r="H62" i="12" s="1"/>
  <c r="D263" i="7"/>
  <c r="O56" i="12" s="1"/>
  <c r="J56" i="12" s="1"/>
  <c r="G1016" i="8"/>
  <c r="G1008" i="8"/>
  <c r="G1074" i="8"/>
  <c r="D261" i="7" s="1"/>
  <c r="K56" i="12" s="1"/>
  <c r="D262" i="7"/>
  <c r="N56" i="12" s="1"/>
  <c r="I56" i="12" s="1"/>
  <c r="D208" i="7" l="1"/>
  <c r="O62" i="12" s="1"/>
  <c r="J62" i="12" s="1"/>
  <c r="D207" i="7"/>
  <c r="N62" i="12" s="1"/>
  <c r="I62" i="12" s="1"/>
  <c r="M56" i="12"/>
  <c r="H56" i="12" s="1"/>
  <c r="K62" i="12"/>
  <c r="F62" i="12" s="1"/>
  <c r="F56" i="12"/>
  <c r="E1001" i="8" l="1"/>
  <c r="G1007" i="8" s="1"/>
  <c r="G1009" i="8" s="1"/>
  <c r="G1011" i="8" l="1"/>
  <c r="G1013" i="8" s="1"/>
  <c r="G1003" i="8"/>
  <c r="G1005" i="8" s="1"/>
  <c r="D276" i="7" s="1"/>
  <c r="M59" i="12" s="1"/>
  <c r="H59" i="12" s="1"/>
  <c r="G1015" i="8"/>
  <c r="G1017" i="8" s="1"/>
  <c r="I60" i="12"/>
  <c r="D277" i="7" l="1"/>
  <c r="N59" i="12" s="1"/>
  <c r="I59" i="12" s="1"/>
  <c r="D278" i="7"/>
  <c r="O59" i="12" s="1"/>
  <c r="J59" i="12" s="1"/>
  <c r="K59" i="12"/>
  <c r="J60" i="12"/>
  <c r="F59" i="12" l="1"/>
  <c r="G3" i="12" s="1"/>
  <c r="F3" i="12"/>
  <c r="F4" i="12" s="1"/>
  <c r="E3" i="1"/>
  <c r="E4" i="1" s="1"/>
  <c r="F3" i="1" l="1"/>
  <c r="H3" i="1" s="1"/>
  <c r="C2" i="1"/>
  <c r="C3" i="1" s="1"/>
  <c r="I3" i="12"/>
  <c r="G4" i="12"/>
  <c r="H3" i="12"/>
  <c r="F4" i="1" l="1"/>
  <c r="G4" i="1" s="1"/>
  <c r="G3" i="1"/>
  <c r="H4" i="12"/>
  <c r="I4" i="12"/>
  <c r="H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Guy</author>
  </authors>
  <commentList>
    <comment ref="D39" authorId="0" shapeId="0" xr:uid="{00000000-0006-0000-0000-000001000000}">
      <text>
        <r>
          <rPr>
            <b/>
            <sz val="9"/>
            <color indexed="81"/>
            <rFont val="Tahoma"/>
            <family val="2"/>
          </rPr>
          <t>Guy:</t>
        </r>
        <r>
          <rPr>
            <sz val="9"/>
            <color indexed="81"/>
            <rFont val="Tahoma"/>
            <family val="2"/>
          </rPr>
          <t xml:space="preserve">
I don't think I have the anything looking at quantity per floor, so I don't think this comment I relevant.  That said, I did update the floor height multiplier to be weighted by which floor the heights are on.  It weights the 1st floor the highest becuase it will have more windows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1186341526V</author>
    <author>Guy</author>
  </authors>
  <commentList>
    <comment ref="K8" authorId="0" shapeId="0" xr:uid="{00000000-0006-0000-0100-000001000000}">
      <text>
        <r>
          <rPr>
            <b/>
            <sz val="9"/>
            <color indexed="81"/>
            <rFont val="Tahoma"/>
            <family val="2"/>
          </rPr>
          <t>1186341526V:</t>
        </r>
        <r>
          <rPr>
            <sz val="9"/>
            <color indexed="81"/>
            <rFont val="Tahoma"/>
            <family val="2"/>
          </rPr>
          <t xml:space="preserve">
updated to account for whether user selects no basement.  Some room package prices are affected by the height of the basement (such as wine cellar), and if the house doesn't have a basement, then we assume those rooms will have the height of the 1st floor.  </t>
        </r>
      </text>
    </comment>
    <comment ref="M8" authorId="1" shapeId="0" xr:uid="{00000000-0006-0000-0100-000002000000}">
      <text>
        <r>
          <rPr>
            <b/>
            <sz val="9"/>
            <color indexed="81"/>
            <rFont val="Tahoma"/>
            <family val="2"/>
          </rPr>
          <t>Guy:</t>
        </r>
        <r>
          <rPr>
            <sz val="9"/>
            <color indexed="81"/>
            <rFont val="Tahoma"/>
            <family val="2"/>
          </rPr>
          <t xml:space="preserve">
updated to account for whether user selects a one story house.  Some room package prices are affected by the height of the room, and if the house is only one story, then those rooms will have the height of the 1st floor.  The package calculations assume some rooms are on the second floor, but making the 2nd floor height equal the 1st floor height, when the house is only one story, is a way to correctly calculate the costs</t>
        </r>
      </text>
    </comment>
    <comment ref="S9" authorId="1" shapeId="0" xr:uid="{00000000-0006-0000-0100-000003000000}">
      <text>
        <r>
          <rPr>
            <b/>
            <sz val="9"/>
            <color indexed="81"/>
            <rFont val="Tahoma"/>
            <family val="2"/>
          </rPr>
          <t>Guy:</t>
        </r>
        <r>
          <rPr>
            <sz val="9"/>
            <color indexed="81"/>
            <rFont val="Tahoma"/>
            <family val="2"/>
          </rPr>
          <t xml:space="preserve">
validate cost calculations, quickly did them on 2 Mar</t>
        </r>
      </text>
    </comment>
    <comment ref="T9" authorId="0" shapeId="0" xr:uid="{00000000-0006-0000-0100-000004000000}">
      <text>
        <r>
          <rPr>
            <b/>
            <sz val="9"/>
            <color indexed="81"/>
            <rFont val="Tahoma"/>
            <family val="2"/>
          </rPr>
          <t>1186341526V:</t>
        </r>
        <r>
          <rPr>
            <sz val="9"/>
            <color indexed="81"/>
            <rFont val="Tahoma"/>
            <family val="2"/>
          </rPr>
          <t xml:space="preserve">
- need to adjust insulation costs based on vaulted ceiling selection
- need to adjust SIP framing selection cost based on vaulted ceiling because I will assume that a SIP roof will be chosen for a vaulted ceiling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Guy</author>
  </authors>
  <commentList>
    <comment ref="J3" authorId="0" shapeId="0" xr:uid="{00000000-0006-0000-0300-000001000000}">
      <text>
        <r>
          <rPr>
            <b/>
            <sz val="9"/>
            <color indexed="81"/>
            <rFont val="Tahoma"/>
            <family val="2"/>
          </rPr>
          <t>Guy:</t>
        </r>
        <r>
          <rPr>
            <sz val="9"/>
            <color indexed="81"/>
            <rFont val="Tahoma"/>
            <family val="2"/>
          </rPr>
          <t xml:space="preserve">
assume no entry door for dining room</t>
        </r>
      </text>
    </comment>
    <comment ref="F11" authorId="0" shapeId="0" xr:uid="{00000000-0006-0000-0300-000002000000}">
      <text>
        <r>
          <rPr>
            <b/>
            <sz val="9"/>
            <color indexed="81"/>
            <rFont val="Tahoma"/>
            <family val="2"/>
          </rPr>
          <t>Guy:</t>
        </r>
        <r>
          <rPr>
            <sz val="9"/>
            <color indexed="81"/>
            <rFont val="Tahoma"/>
            <family val="2"/>
          </rPr>
          <t xml:space="preserve">
bedroom pricing is default plus increases for sqft, floor height (assumes all bedrooms on 2nd floor), and amount of angles</t>
        </r>
      </text>
    </comment>
    <comment ref="F12" authorId="0" shapeId="0" xr:uid="{00000000-0006-0000-0300-000003000000}">
      <text>
        <r>
          <rPr>
            <b/>
            <sz val="9"/>
            <color indexed="81"/>
            <rFont val="Tahoma"/>
            <family val="2"/>
          </rPr>
          <t>Guy:</t>
        </r>
        <r>
          <rPr>
            <sz val="9"/>
            <color indexed="81"/>
            <rFont val="Tahoma"/>
            <family val="2"/>
          </rPr>
          <t xml:space="preserve">
bedroom pricing is default plus increases for sqft, floor height (assumes all bedrooms on 2nd floor), and amount of angles</t>
        </r>
      </text>
    </comment>
    <comment ref="F13" authorId="0" shapeId="0" xr:uid="{00000000-0006-0000-0300-000004000000}">
      <text>
        <r>
          <rPr>
            <b/>
            <sz val="9"/>
            <color indexed="81"/>
            <rFont val="Tahoma"/>
            <family val="2"/>
          </rPr>
          <t>Guy:</t>
        </r>
        <r>
          <rPr>
            <sz val="9"/>
            <color indexed="81"/>
            <rFont val="Tahoma"/>
            <family val="2"/>
          </rPr>
          <t xml:space="preserve">
bedroom pricing is default plus increases for sqft, floor height (assumes all bedrooms on 2nd floor), and amount of angles</t>
        </r>
      </text>
    </comment>
    <comment ref="F16" authorId="0" shapeId="0" xr:uid="{00000000-0006-0000-0300-000005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17" authorId="0" shapeId="0" xr:uid="{00000000-0006-0000-0300-000006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18" authorId="0" shapeId="0" xr:uid="{00000000-0006-0000-0300-000007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1" authorId="0" shapeId="0" xr:uid="{00000000-0006-0000-0300-000008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2" authorId="0" shapeId="0" xr:uid="{00000000-0006-0000-0300-000009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3" authorId="0" shapeId="0" xr:uid="{00000000-0006-0000-0300-00000A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6" authorId="0" shapeId="0" xr:uid="{00000000-0006-0000-0300-00000B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7" authorId="0" shapeId="0" xr:uid="{00000000-0006-0000-0300-00000C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28" authorId="0" shapeId="0" xr:uid="{00000000-0006-0000-0300-00000D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1" authorId="0" shapeId="0" xr:uid="{00000000-0006-0000-0300-00000E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2" authorId="0" shapeId="0" xr:uid="{00000000-0006-0000-0300-00000F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3" authorId="0" shapeId="0" xr:uid="{00000000-0006-0000-0300-000010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6" authorId="0" shapeId="0" xr:uid="{00000000-0006-0000-0300-000011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7" authorId="0" shapeId="0" xr:uid="{00000000-0006-0000-0300-000012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38" authorId="0" shapeId="0" xr:uid="{00000000-0006-0000-0300-000013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1" authorId="0" shapeId="0" xr:uid="{00000000-0006-0000-0300-000014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2" authorId="0" shapeId="0" xr:uid="{00000000-0006-0000-0300-000015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3" authorId="0" shapeId="0" xr:uid="{00000000-0006-0000-0300-000016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6" authorId="0" shapeId="0" xr:uid="{00000000-0006-0000-0300-000017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7" authorId="0" shapeId="0" xr:uid="{00000000-0006-0000-0300-000018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F48" authorId="0" shapeId="0" xr:uid="{00000000-0006-0000-0300-000019000000}">
      <text>
        <r>
          <rPr>
            <b/>
            <sz val="9"/>
            <color indexed="81"/>
            <rFont val="Tahoma"/>
            <family val="2"/>
          </rPr>
          <t>Guy:</t>
        </r>
        <r>
          <rPr>
            <sz val="9"/>
            <color indexed="81"/>
            <rFont val="Tahoma"/>
            <family val="2"/>
          </rPr>
          <t xml:space="preserve">
bedroom pricing is default plus increases for sqft, floor height (assumes all bedrooms on 2nd floor), and design complexity</t>
        </r>
      </text>
    </comment>
    <comment ref="G51" authorId="0" shapeId="0" xr:uid="{00000000-0006-0000-0300-00001A000000}">
      <text>
        <r>
          <rPr>
            <b/>
            <sz val="9"/>
            <color indexed="81"/>
            <rFont val="Tahoma"/>
            <family val="2"/>
          </rPr>
          <t>Guy:</t>
        </r>
        <r>
          <rPr>
            <sz val="9"/>
            <color indexed="81"/>
            <rFont val="Tahoma"/>
            <family val="2"/>
          </rPr>
          <t xml:space="preserve">
adding floor height and design complexity</t>
        </r>
      </text>
    </comment>
    <comment ref="G52" authorId="0" shapeId="0" xr:uid="{00000000-0006-0000-0300-00001B000000}">
      <text>
        <r>
          <rPr>
            <b/>
            <sz val="9"/>
            <color indexed="81"/>
            <rFont val="Tahoma"/>
            <family val="2"/>
          </rPr>
          <t>Guy:</t>
        </r>
        <r>
          <rPr>
            <sz val="9"/>
            <color indexed="81"/>
            <rFont val="Tahoma"/>
            <family val="2"/>
          </rPr>
          <t xml:space="preserve">
adding floor height and design complexity</t>
        </r>
      </text>
    </comment>
    <comment ref="G53" authorId="0" shapeId="0" xr:uid="{00000000-0006-0000-0300-00001C000000}">
      <text>
        <r>
          <rPr>
            <b/>
            <sz val="9"/>
            <color indexed="81"/>
            <rFont val="Tahoma"/>
            <family val="2"/>
          </rPr>
          <t>Guy:</t>
        </r>
        <r>
          <rPr>
            <sz val="9"/>
            <color indexed="81"/>
            <rFont val="Tahoma"/>
            <family val="2"/>
          </rPr>
          <t xml:space="preserve">
adding floor height and design complexity</t>
        </r>
      </text>
    </comment>
    <comment ref="G56" authorId="0" shapeId="0" xr:uid="{00000000-0006-0000-0300-00001D000000}">
      <text>
        <r>
          <rPr>
            <b/>
            <sz val="9"/>
            <color indexed="81"/>
            <rFont val="Tahoma"/>
            <family val="2"/>
          </rPr>
          <t>Guy:</t>
        </r>
        <r>
          <rPr>
            <sz val="9"/>
            <color indexed="81"/>
            <rFont val="Tahoma"/>
            <family val="2"/>
          </rPr>
          <t xml:space="preserve">
</t>
        </r>
      </text>
    </comment>
    <comment ref="G57" authorId="0" shapeId="0" xr:uid="{00000000-0006-0000-0300-00001E000000}">
      <text>
        <r>
          <rPr>
            <b/>
            <sz val="9"/>
            <color indexed="81"/>
            <rFont val="Tahoma"/>
            <family val="2"/>
          </rPr>
          <t>Guy:</t>
        </r>
        <r>
          <rPr>
            <sz val="9"/>
            <color indexed="81"/>
            <rFont val="Tahoma"/>
            <family val="2"/>
          </rPr>
          <t xml:space="preserve">
</t>
        </r>
      </text>
    </comment>
    <comment ref="G58" authorId="0" shapeId="0" xr:uid="{00000000-0006-0000-0300-00001F000000}">
      <text>
        <r>
          <rPr>
            <b/>
            <sz val="9"/>
            <color indexed="81"/>
            <rFont val="Tahoma"/>
            <family val="2"/>
          </rPr>
          <t>Guy:</t>
        </r>
        <r>
          <rPr>
            <sz val="9"/>
            <color indexed="81"/>
            <rFont val="Tahoma"/>
            <family val="2"/>
          </rPr>
          <t xml:space="preserve">
</t>
        </r>
      </text>
    </comment>
    <comment ref="G61" authorId="0" shapeId="0" xr:uid="{A7F3680C-5712-4EA0-9D0C-9F19E1744FD3}">
      <text>
        <r>
          <rPr>
            <b/>
            <sz val="9"/>
            <color indexed="81"/>
            <rFont val="Tahoma"/>
            <family val="2"/>
          </rPr>
          <t>Guy:</t>
        </r>
        <r>
          <rPr>
            <sz val="9"/>
            <color indexed="81"/>
            <rFont val="Tahoma"/>
            <family val="2"/>
          </rPr>
          <t xml:space="preserve">
increases for complexity and floor height
</t>
        </r>
      </text>
    </comment>
    <comment ref="G62" authorId="0" shapeId="0" xr:uid="{33035AC4-C6CE-489D-8213-609AEE32358C}">
      <text>
        <r>
          <rPr>
            <b/>
            <sz val="9"/>
            <color indexed="81"/>
            <rFont val="Tahoma"/>
            <family val="2"/>
          </rPr>
          <t>Guy:</t>
        </r>
        <r>
          <rPr>
            <sz val="9"/>
            <color indexed="81"/>
            <rFont val="Tahoma"/>
            <family val="2"/>
          </rPr>
          <t xml:space="preserve">
increases for complexity and floor height
</t>
        </r>
      </text>
    </comment>
    <comment ref="G63" authorId="0" shapeId="0" xr:uid="{F2923DB0-8EAC-492A-B909-5C83C11A95A0}">
      <text>
        <r>
          <rPr>
            <b/>
            <sz val="9"/>
            <color indexed="81"/>
            <rFont val="Tahoma"/>
            <family val="2"/>
          </rPr>
          <t>Guy:</t>
        </r>
        <r>
          <rPr>
            <sz val="9"/>
            <color indexed="81"/>
            <rFont val="Tahoma"/>
            <family val="2"/>
          </rPr>
          <t xml:space="preserve">
increases for complexity and floor height
</t>
        </r>
      </text>
    </comment>
    <comment ref="G65" authorId="0" shapeId="0" xr:uid="{20CFDBCC-2AE8-40BB-BEF6-9206DA0D204F}">
      <text>
        <r>
          <rPr>
            <b/>
            <sz val="9"/>
            <color indexed="81"/>
            <rFont val="Tahoma"/>
            <family val="2"/>
          </rPr>
          <t>Guy:</t>
        </r>
        <r>
          <rPr>
            <sz val="9"/>
            <color indexed="81"/>
            <rFont val="Tahoma"/>
            <family val="2"/>
          </rPr>
          <t xml:space="preserve">
increases for complexity and floor height
</t>
        </r>
      </text>
    </comment>
    <comment ref="G66" authorId="0" shapeId="0" xr:uid="{F9B91521-CE84-4AC9-9BC3-1522CA1E6CED}">
      <text>
        <r>
          <rPr>
            <b/>
            <sz val="9"/>
            <color indexed="81"/>
            <rFont val="Tahoma"/>
            <family val="2"/>
          </rPr>
          <t>Guy:</t>
        </r>
        <r>
          <rPr>
            <sz val="9"/>
            <color indexed="81"/>
            <rFont val="Tahoma"/>
            <family val="2"/>
          </rPr>
          <t xml:space="preserve">
increases for complexity and floor height
</t>
        </r>
      </text>
    </comment>
    <comment ref="G67" authorId="0" shapeId="0" xr:uid="{69352B3B-CC7A-409A-8863-8CE439BC5092}">
      <text>
        <r>
          <rPr>
            <b/>
            <sz val="9"/>
            <color indexed="81"/>
            <rFont val="Tahoma"/>
            <family val="2"/>
          </rPr>
          <t>Guy:</t>
        </r>
        <r>
          <rPr>
            <sz val="9"/>
            <color indexed="81"/>
            <rFont val="Tahoma"/>
            <family val="2"/>
          </rPr>
          <t xml:space="preserve">
increases for complexity and floor height
</t>
        </r>
      </text>
    </comment>
    <comment ref="G68" authorId="0" shapeId="0" xr:uid="{0F4A9E63-B2D5-4475-B7D4-9CF15ED6F315}">
      <text>
        <r>
          <rPr>
            <b/>
            <sz val="9"/>
            <color indexed="81"/>
            <rFont val="Tahoma"/>
            <family val="2"/>
          </rPr>
          <t>Guy:</t>
        </r>
        <r>
          <rPr>
            <sz val="9"/>
            <color indexed="81"/>
            <rFont val="Tahoma"/>
            <family val="2"/>
          </rPr>
          <t xml:space="preserve">
increases for complexity and floor height
</t>
        </r>
      </text>
    </comment>
    <comment ref="G71" authorId="0" shapeId="0" xr:uid="{39EA5FA8-0E80-4FBA-AE1A-3E8B95990AC8}">
      <text>
        <r>
          <rPr>
            <b/>
            <sz val="9"/>
            <color indexed="81"/>
            <rFont val="Tahoma"/>
            <family val="2"/>
          </rPr>
          <t>Guy:</t>
        </r>
        <r>
          <rPr>
            <sz val="9"/>
            <color indexed="81"/>
            <rFont val="Tahoma"/>
            <family val="2"/>
          </rPr>
          <t xml:space="preserve">
increases for complexity and floor height
</t>
        </r>
      </text>
    </comment>
    <comment ref="G72" authorId="0" shapeId="0" xr:uid="{B89AA358-B137-48DC-9BAD-3D78AD5DF046}">
      <text>
        <r>
          <rPr>
            <b/>
            <sz val="9"/>
            <color indexed="81"/>
            <rFont val="Tahoma"/>
            <family val="2"/>
          </rPr>
          <t>Guy:</t>
        </r>
        <r>
          <rPr>
            <sz val="9"/>
            <color indexed="81"/>
            <rFont val="Tahoma"/>
            <family val="2"/>
          </rPr>
          <t xml:space="preserve">
increases for complexity and floor height
</t>
        </r>
      </text>
    </comment>
    <comment ref="G73" authorId="0" shapeId="0" xr:uid="{B31170E7-B043-4FA0-8474-21AD9E60488F}">
      <text>
        <r>
          <rPr>
            <b/>
            <sz val="9"/>
            <color indexed="81"/>
            <rFont val="Tahoma"/>
            <family val="2"/>
          </rPr>
          <t>Guy:</t>
        </r>
        <r>
          <rPr>
            <sz val="9"/>
            <color indexed="81"/>
            <rFont val="Tahoma"/>
            <family val="2"/>
          </rPr>
          <t xml:space="preserve">
increases for complexity and floor height
</t>
        </r>
      </text>
    </comment>
    <comment ref="G76" authorId="0" shapeId="0" xr:uid="{92CD29DE-B826-456C-939F-FB84661EE56A}">
      <text>
        <r>
          <rPr>
            <b/>
            <sz val="9"/>
            <color indexed="81"/>
            <rFont val="Tahoma"/>
            <family val="2"/>
          </rPr>
          <t>Guy:</t>
        </r>
        <r>
          <rPr>
            <sz val="9"/>
            <color indexed="81"/>
            <rFont val="Tahoma"/>
            <family val="2"/>
          </rPr>
          <t xml:space="preserve">
increases for complexity and floor height
</t>
        </r>
      </text>
    </comment>
    <comment ref="G77" authorId="0" shapeId="0" xr:uid="{4E40C72D-4ABB-4EF3-88D1-AF645B663180}">
      <text>
        <r>
          <rPr>
            <b/>
            <sz val="9"/>
            <color indexed="81"/>
            <rFont val="Tahoma"/>
            <family val="2"/>
          </rPr>
          <t>Guy:</t>
        </r>
        <r>
          <rPr>
            <sz val="9"/>
            <color indexed="81"/>
            <rFont val="Tahoma"/>
            <family val="2"/>
          </rPr>
          <t xml:space="preserve">
increases for complexity and floor height
</t>
        </r>
      </text>
    </comment>
    <comment ref="G78" authorId="0" shapeId="0" xr:uid="{789D1F52-0CD0-4E3E-9141-2C736E3E8B92}">
      <text>
        <r>
          <rPr>
            <b/>
            <sz val="9"/>
            <color indexed="81"/>
            <rFont val="Tahoma"/>
            <family val="2"/>
          </rPr>
          <t>Guy:</t>
        </r>
        <r>
          <rPr>
            <sz val="9"/>
            <color indexed="81"/>
            <rFont val="Tahoma"/>
            <family val="2"/>
          </rPr>
          <t xml:space="preserve">
increases for complexity and floor height
</t>
        </r>
      </text>
    </comment>
    <comment ref="G81" authorId="0" shapeId="0" xr:uid="{5034594E-D41D-41F6-92F5-DAFA93E6F512}">
      <text>
        <r>
          <rPr>
            <b/>
            <sz val="9"/>
            <color indexed="81"/>
            <rFont val="Tahoma"/>
            <family val="2"/>
          </rPr>
          <t>Guy:</t>
        </r>
        <r>
          <rPr>
            <sz val="9"/>
            <color indexed="81"/>
            <rFont val="Tahoma"/>
            <family val="2"/>
          </rPr>
          <t xml:space="preserve">
increases for complexity and floor height
</t>
        </r>
      </text>
    </comment>
    <comment ref="G82" authorId="0" shapeId="0" xr:uid="{D7F023E7-0FC9-4D18-B6BD-C8F8FD27238A}">
      <text>
        <r>
          <rPr>
            <b/>
            <sz val="9"/>
            <color indexed="81"/>
            <rFont val="Tahoma"/>
            <family val="2"/>
          </rPr>
          <t>Guy:</t>
        </r>
        <r>
          <rPr>
            <sz val="9"/>
            <color indexed="81"/>
            <rFont val="Tahoma"/>
            <family val="2"/>
          </rPr>
          <t xml:space="preserve">
increases for complexity and floor height
</t>
        </r>
      </text>
    </comment>
    <comment ref="G83" authorId="0" shapeId="0" xr:uid="{DEAE07DB-6DAC-459E-8576-33030F48B8EE}">
      <text>
        <r>
          <rPr>
            <b/>
            <sz val="9"/>
            <color indexed="81"/>
            <rFont val="Tahoma"/>
            <family val="2"/>
          </rPr>
          <t>Guy:</t>
        </r>
        <r>
          <rPr>
            <sz val="9"/>
            <color indexed="81"/>
            <rFont val="Tahoma"/>
            <family val="2"/>
          </rPr>
          <t xml:space="preserve">
increases for complexity and floor height
</t>
        </r>
      </text>
    </comment>
    <comment ref="G86" authorId="0" shapeId="0" xr:uid="{8BFDF42B-BBCC-4A80-A26B-DCADBBD363CE}">
      <text>
        <r>
          <rPr>
            <b/>
            <sz val="9"/>
            <color indexed="81"/>
            <rFont val="Tahoma"/>
            <family val="2"/>
          </rPr>
          <t>Guy:</t>
        </r>
        <r>
          <rPr>
            <sz val="9"/>
            <color indexed="81"/>
            <rFont val="Tahoma"/>
            <family val="2"/>
          </rPr>
          <t xml:space="preserve">
increases for complexity and floor height
</t>
        </r>
      </text>
    </comment>
    <comment ref="G87" authorId="0" shapeId="0" xr:uid="{B1F52199-E82A-4AAB-BA32-C8C3C601B40E}">
      <text>
        <r>
          <rPr>
            <b/>
            <sz val="9"/>
            <color indexed="81"/>
            <rFont val="Tahoma"/>
            <family val="2"/>
          </rPr>
          <t>Guy:</t>
        </r>
        <r>
          <rPr>
            <sz val="9"/>
            <color indexed="81"/>
            <rFont val="Tahoma"/>
            <family val="2"/>
          </rPr>
          <t xml:space="preserve">
increases for complexity and floor height
</t>
        </r>
      </text>
    </comment>
    <comment ref="G88" authorId="0" shapeId="0" xr:uid="{21E75229-94A0-4720-8269-8590165C7EE4}">
      <text>
        <r>
          <rPr>
            <b/>
            <sz val="9"/>
            <color indexed="81"/>
            <rFont val="Tahoma"/>
            <family val="2"/>
          </rPr>
          <t>Guy:</t>
        </r>
        <r>
          <rPr>
            <sz val="9"/>
            <color indexed="81"/>
            <rFont val="Tahoma"/>
            <family val="2"/>
          </rPr>
          <t xml:space="preserve">
increases for complexity and floor height
</t>
        </r>
      </text>
    </comment>
    <comment ref="G91" authorId="0" shapeId="0" xr:uid="{0D8B0494-44EA-46B4-81A1-3B954D40159F}">
      <text>
        <r>
          <rPr>
            <b/>
            <sz val="9"/>
            <color indexed="81"/>
            <rFont val="Tahoma"/>
            <family val="2"/>
          </rPr>
          <t>Guy:</t>
        </r>
        <r>
          <rPr>
            <sz val="9"/>
            <color indexed="81"/>
            <rFont val="Tahoma"/>
            <family val="2"/>
          </rPr>
          <t xml:space="preserve">
increases for complexity and floor height
</t>
        </r>
      </text>
    </comment>
    <comment ref="G92" authorId="0" shapeId="0" xr:uid="{87863F50-2F9F-4A2D-9EDC-D6843E1E1D9B}">
      <text>
        <r>
          <rPr>
            <b/>
            <sz val="9"/>
            <color indexed="81"/>
            <rFont val="Tahoma"/>
            <family val="2"/>
          </rPr>
          <t>Guy:</t>
        </r>
        <r>
          <rPr>
            <sz val="9"/>
            <color indexed="81"/>
            <rFont val="Tahoma"/>
            <family val="2"/>
          </rPr>
          <t xml:space="preserve">
increases for complexity and floor height
</t>
        </r>
      </text>
    </comment>
    <comment ref="G93" authorId="0" shapeId="0" xr:uid="{00DFF606-8C77-4E6B-911D-721FBF21C588}">
      <text>
        <r>
          <rPr>
            <b/>
            <sz val="9"/>
            <color indexed="81"/>
            <rFont val="Tahoma"/>
            <family val="2"/>
          </rPr>
          <t>Guy:</t>
        </r>
        <r>
          <rPr>
            <sz val="9"/>
            <color indexed="81"/>
            <rFont val="Tahoma"/>
            <family val="2"/>
          </rPr>
          <t xml:space="preserve">
increases for complexity and floor height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Guy</author>
    <author>1186341526V</author>
    <author>guy barth</author>
    <author>tc={ABF69760-B123-4BCB-86A8-9B8B784BA0E2}</author>
    <author>tc={BD0BE3A5-1C0C-4537-807C-3A97FC336DB4}</author>
    <author>tc={C005BA3E-BDA9-44EC-BA2E-3FA728E319BC}</author>
  </authors>
  <commentList>
    <comment ref="C5" authorId="0" shapeId="0" xr:uid="{00000000-0006-0000-0400-000001000000}">
      <text>
        <r>
          <rPr>
            <b/>
            <sz val="9"/>
            <color indexed="81"/>
            <rFont val="Tahoma"/>
            <family val="2"/>
          </rPr>
          <t>Guy:</t>
        </r>
        <r>
          <rPr>
            <sz val="9"/>
            <color indexed="81"/>
            <rFont val="Tahoma"/>
            <family val="2"/>
          </rPr>
          <t xml:space="preserve">
1 if number of bedrooms selected is equal to or greater than this bredroom number</t>
        </r>
      </text>
    </comment>
    <comment ref="E5" authorId="0" shapeId="0" xr:uid="{00000000-0006-0000-0400-000002000000}">
      <text>
        <r>
          <rPr>
            <b/>
            <sz val="9"/>
            <color indexed="81"/>
            <rFont val="Tahoma"/>
            <family val="2"/>
          </rPr>
          <t>Guy:</t>
        </r>
        <r>
          <rPr>
            <sz val="9"/>
            <color indexed="81"/>
            <rFont val="Tahoma"/>
            <family val="2"/>
          </rPr>
          <t xml:space="preserve">
1 if number of bathrooms selected is equal to or greater than this bathroom.  A half bath will bath #2 a half bath</t>
        </r>
      </text>
    </comment>
    <comment ref="B15" authorId="1" shapeId="0" xr:uid="{00000000-0006-0000-0400-000003000000}">
      <text>
        <r>
          <rPr>
            <b/>
            <sz val="9"/>
            <color indexed="81"/>
            <rFont val="Tahoma"/>
            <family val="2"/>
          </rPr>
          <t>1186341526V:</t>
        </r>
        <r>
          <rPr>
            <sz val="9"/>
            <color indexed="81"/>
            <rFont val="Tahoma"/>
            <family val="2"/>
          </rPr>
          <t xml:space="preserve">
- need to add closets
-neeed to add angles and ceiling height
- need to add fireplace</t>
        </r>
      </text>
    </comment>
    <comment ref="J16" authorId="0" shapeId="0" xr:uid="{00000000-0006-0000-0400-000004000000}">
      <text>
        <r>
          <rPr>
            <b/>
            <sz val="9"/>
            <color indexed="81"/>
            <rFont val="Tahoma"/>
            <family val="2"/>
          </rPr>
          <t>Guy:</t>
        </r>
        <r>
          <rPr>
            <sz val="9"/>
            <color indexed="81"/>
            <rFont val="Tahoma"/>
            <family val="2"/>
          </rPr>
          <t xml:space="preserve">
- counting rope light as two
</t>
        </r>
      </text>
    </comment>
    <comment ref="J18" authorId="0" shapeId="0" xr:uid="{00000000-0006-0000-0400-000005000000}">
      <text>
        <r>
          <rPr>
            <b/>
            <sz val="9"/>
            <color indexed="81"/>
            <rFont val="Tahoma"/>
            <family val="2"/>
          </rPr>
          <t>Guy:</t>
        </r>
        <r>
          <rPr>
            <sz val="9"/>
            <color indexed="81"/>
            <rFont val="Tahoma"/>
            <family val="2"/>
          </rPr>
          <t xml:space="preserve">
assumes that rople light is two lights</t>
        </r>
      </text>
    </comment>
    <comment ref="L18" authorId="0" shapeId="0" xr:uid="{00000000-0006-0000-0400-000006000000}">
      <text>
        <r>
          <rPr>
            <b/>
            <sz val="9"/>
            <color indexed="81"/>
            <rFont val="Tahoma"/>
            <family val="2"/>
          </rPr>
          <t>Guy:</t>
        </r>
        <r>
          <rPr>
            <sz val="9"/>
            <color indexed="81"/>
            <rFont val="Tahoma"/>
            <family val="2"/>
          </rPr>
          <t xml:space="preserve">
assumes that rople light is two lights</t>
        </r>
      </text>
    </comment>
    <comment ref="L19" authorId="0" shapeId="0" xr:uid="{00000000-0006-0000-0400-000007000000}">
      <text>
        <r>
          <rPr>
            <b/>
            <sz val="9"/>
            <color indexed="81"/>
            <rFont val="Tahoma"/>
            <family val="2"/>
          </rPr>
          <t>Guy:</t>
        </r>
        <r>
          <rPr>
            <sz val="9"/>
            <color indexed="81"/>
            <rFont val="Tahoma"/>
            <family val="2"/>
          </rPr>
          <t xml:space="preserve">
assumes that rople light is two lights</t>
        </r>
      </text>
    </comment>
    <comment ref="L23" authorId="0" shapeId="0" xr:uid="{00000000-0006-0000-0400-000008000000}">
      <text>
        <r>
          <rPr>
            <b/>
            <sz val="9"/>
            <color indexed="81"/>
            <rFont val="Tahoma"/>
            <family val="2"/>
          </rPr>
          <t>Guy:</t>
        </r>
        <r>
          <rPr>
            <sz val="9"/>
            <color indexed="81"/>
            <rFont val="Tahoma"/>
            <family val="2"/>
          </rPr>
          <t xml:space="preserve">
- 2 lights for bronze and silver (one per his/her closet)
- 4 lights for gold/platinum (two per his/her)</t>
        </r>
      </text>
    </comment>
    <comment ref="L24" authorId="0" shapeId="0" xr:uid="{00000000-0006-0000-0400-000009000000}">
      <text>
        <r>
          <rPr>
            <b/>
            <sz val="9"/>
            <color indexed="81"/>
            <rFont val="Tahoma"/>
            <family val="2"/>
          </rPr>
          <t>Guy:</t>
        </r>
        <r>
          <rPr>
            <sz val="9"/>
            <color indexed="81"/>
            <rFont val="Tahoma"/>
            <family val="2"/>
          </rPr>
          <t xml:space="preserve">
- 0 lights for bronze and silver
- 1 light for gold/platinum
</t>
        </r>
      </text>
    </comment>
    <comment ref="L25" authorId="0" shapeId="0" xr:uid="{00000000-0006-0000-0400-00000A000000}">
      <text>
        <r>
          <rPr>
            <b/>
            <sz val="9"/>
            <color indexed="81"/>
            <rFont val="Tahoma"/>
            <family val="2"/>
          </rPr>
          <t>Guy:</t>
        </r>
        <r>
          <rPr>
            <sz val="9"/>
            <color indexed="81"/>
            <rFont val="Tahoma"/>
            <family val="2"/>
          </rPr>
          <t xml:space="preserve">
- 0 lights for bronze and silver
- 1 light for gold/platinum
</t>
        </r>
      </text>
    </comment>
    <comment ref="L26" authorId="0" shapeId="0" xr:uid="{00000000-0006-0000-0400-00000B000000}">
      <text>
        <r>
          <rPr>
            <b/>
            <sz val="9"/>
            <color indexed="81"/>
            <rFont val="Tahoma"/>
            <family val="2"/>
          </rPr>
          <t>Guy:</t>
        </r>
        <r>
          <rPr>
            <sz val="9"/>
            <color indexed="81"/>
            <rFont val="Tahoma"/>
            <family val="2"/>
          </rPr>
          <t xml:space="preserve">
- 0 lights for bronze and silver
- 1 light for gold/platinum
</t>
        </r>
      </text>
    </comment>
    <comment ref="L27" authorId="0" shapeId="0" xr:uid="{00000000-0006-0000-0400-00000C000000}">
      <text>
        <r>
          <rPr>
            <b/>
            <sz val="9"/>
            <color indexed="81"/>
            <rFont val="Tahoma"/>
            <family val="2"/>
          </rPr>
          <t>Guy:</t>
        </r>
        <r>
          <rPr>
            <sz val="9"/>
            <color indexed="81"/>
            <rFont val="Tahoma"/>
            <family val="2"/>
          </rPr>
          <t xml:space="preserve">
- 0 lights for bronze and silver
- 1 light for gold/platinum
</t>
        </r>
      </text>
    </comment>
    <comment ref="L28" authorId="0" shapeId="0" xr:uid="{00000000-0006-0000-0400-00000D000000}">
      <text>
        <r>
          <rPr>
            <b/>
            <sz val="9"/>
            <color indexed="81"/>
            <rFont val="Tahoma"/>
            <family val="2"/>
          </rPr>
          <t>Guy:</t>
        </r>
        <r>
          <rPr>
            <sz val="9"/>
            <color indexed="81"/>
            <rFont val="Tahoma"/>
            <family val="2"/>
          </rPr>
          <t xml:space="preserve">
- 0 lights for bronze and silver
- 1 light for gold/platinum
</t>
        </r>
      </text>
    </comment>
    <comment ref="L29" authorId="0" shapeId="0" xr:uid="{00000000-0006-0000-0400-00000E000000}">
      <text>
        <r>
          <rPr>
            <b/>
            <sz val="9"/>
            <color indexed="81"/>
            <rFont val="Tahoma"/>
            <family val="2"/>
          </rPr>
          <t>Guy:</t>
        </r>
        <r>
          <rPr>
            <sz val="9"/>
            <color indexed="81"/>
            <rFont val="Tahoma"/>
            <family val="2"/>
          </rPr>
          <t xml:space="preserve">
- 0 lights for bronze and silver
- 1 light for gold/platinum
</t>
        </r>
      </text>
    </comment>
    <comment ref="L30" authorId="0" shapeId="0" xr:uid="{00000000-0006-0000-0400-00000F000000}">
      <text>
        <r>
          <rPr>
            <b/>
            <sz val="9"/>
            <color indexed="81"/>
            <rFont val="Tahoma"/>
            <family val="2"/>
          </rPr>
          <t>Guy:</t>
        </r>
        <r>
          <rPr>
            <sz val="9"/>
            <color indexed="81"/>
            <rFont val="Tahoma"/>
            <family val="2"/>
          </rPr>
          <t xml:space="preserve">
- 0 lights for bronze and silver
- 1 light for gold/platinum
</t>
        </r>
      </text>
    </comment>
    <comment ref="C32" authorId="0" shapeId="0" xr:uid="{00000000-0006-0000-0400-000010000000}">
      <text>
        <r>
          <rPr>
            <b/>
            <sz val="9"/>
            <color indexed="81"/>
            <rFont val="Tahoma"/>
            <family val="2"/>
          </rPr>
          <t>Guy:</t>
        </r>
        <r>
          <rPr>
            <sz val="9"/>
            <color indexed="81"/>
            <rFont val="Tahoma"/>
            <family val="2"/>
          </rPr>
          <t xml:space="preserve">
about $500 for 4 reccessed lights installed, about $250 for rope lightr installed, and $250 for ceiling/fan</t>
        </r>
      </text>
    </comment>
    <comment ref="C34" authorId="0" shapeId="0" xr:uid="{00000000-0006-0000-0400-000011000000}">
      <text>
        <r>
          <rPr>
            <b/>
            <sz val="9"/>
            <color indexed="81"/>
            <rFont val="Tahoma"/>
            <family val="2"/>
          </rPr>
          <t>Guy:</t>
        </r>
        <r>
          <rPr>
            <sz val="9"/>
            <color indexed="81"/>
            <rFont val="Tahoma"/>
            <family val="2"/>
          </rPr>
          <t xml:space="preserve">
$150 per manual blind, but increase price of manual blind based on window package level</t>
        </r>
      </text>
    </comment>
    <comment ref="D34" authorId="1" shapeId="0" xr:uid="{00000000-0006-0000-0400-000012000000}">
      <text>
        <r>
          <rPr>
            <b/>
            <sz val="9"/>
            <color indexed="81"/>
            <rFont val="Tahoma"/>
            <family val="2"/>
          </rPr>
          <t>1186341526V:</t>
        </r>
        <r>
          <rPr>
            <sz val="9"/>
            <color indexed="81"/>
            <rFont val="Tahoma"/>
            <family val="2"/>
          </rPr>
          <t xml:space="preserve">
number of blinds is room size divided by 60</t>
        </r>
      </text>
    </comment>
    <comment ref="E34" authorId="1" shapeId="0" xr:uid="{00000000-0006-0000-0400-000013000000}">
      <text>
        <r>
          <rPr>
            <b/>
            <sz val="9"/>
            <color indexed="81"/>
            <rFont val="Tahoma"/>
            <family val="2"/>
          </rPr>
          <t>1186341526V:</t>
        </r>
        <r>
          <rPr>
            <sz val="9"/>
            <color indexed="81"/>
            <rFont val="Tahoma"/>
            <family val="2"/>
          </rPr>
          <t xml:space="preserve">
number of blinds is room size divided by 60</t>
        </r>
      </text>
    </comment>
    <comment ref="C42" authorId="0" shapeId="0" xr:uid="{00000000-0006-0000-0400-000016000000}">
      <text>
        <r>
          <rPr>
            <b/>
            <sz val="9"/>
            <color indexed="81"/>
            <rFont val="Tahoma"/>
            <family val="2"/>
          </rPr>
          <t>Guy:</t>
        </r>
        <r>
          <rPr>
            <sz val="9"/>
            <color indexed="81"/>
            <rFont val="Tahoma"/>
            <family val="2"/>
          </rPr>
          <t xml:space="preserve">
$300 per motorized blind, but increase price of blind based on window package level</t>
        </r>
      </text>
    </comment>
    <comment ref="B47" authorId="1" shapeId="0" xr:uid="{00000000-0006-0000-0400-000017000000}">
      <text>
        <r>
          <rPr>
            <b/>
            <sz val="9"/>
            <color indexed="81"/>
            <rFont val="Tahoma"/>
            <family val="2"/>
          </rPr>
          <t>1186341526V:</t>
        </r>
        <r>
          <rPr>
            <sz val="9"/>
            <color indexed="81"/>
            <rFont val="Tahoma"/>
            <family val="2"/>
          </rPr>
          <t xml:space="preserve">
neeed to add angles and ceiling height</t>
        </r>
      </text>
    </comment>
    <comment ref="G49" authorId="0" shapeId="0" xr:uid="{00000000-0006-0000-0400-000018000000}">
      <text>
        <r>
          <rPr>
            <b/>
            <sz val="9"/>
            <color indexed="81"/>
            <rFont val="Tahoma"/>
            <family val="2"/>
          </rPr>
          <t>Guy:</t>
        </r>
        <r>
          <rPr>
            <sz val="9"/>
            <color indexed="81"/>
            <rFont val="Tahoma"/>
            <family val="2"/>
          </rPr>
          <t xml:space="preserve">
powder room flooring included in main flooring package</t>
        </r>
      </text>
    </comment>
    <comment ref="C51" authorId="0" shapeId="0" xr:uid="{00000000-0006-0000-0400-000019000000}">
      <text>
        <r>
          <rPr>
            <b/>
            <sz val="9"/>
            <color indexed="81"/>
            <rFont val="Tahoma"/>
            <family val="2"/>
          </rPr>
          <t>Guy:</t>
        </r>
        <r>
          <rPr>
            <sz val="9"/>
            <color indexed="81"/>
            <rFont val="Tahoma"/>
            <family val="2"/>
          </rPr>
          <t xml:space="preserve">
cost per single vanity with vanity, sink, countertop, mirror, and faucet</t>
        </r>
      </text>
    </comment>
    <comment ref="C52" authorId="0" shapeId="0" xr:uid="{00000000-0006-0000-0400-00001A000000}">
      <text>
        <r>
          <rPr>
            <b/>
            <sz val="9"/>
            <color indexed="81"/>
            <rFont val="Tahoma"/>
            <family val="2"/>
          </rPr>
          <t>Guy:</t>
        </r>
        <r>
          <rPr>
            <sz val="9"/>
            <color indexed="81"/>
            <rFont val="Tahoma"/>
            <family val="2"/>
          </rPr>
          <t xml:space="preserve">
tub with shower rod or shower with framed glass door, and single shower head
$160 all in one shower fixture/valve</t>
        </r>
      </text>
    </comment>
    <comment ref="D52" authorId="0" shapeId="0" xr:uid="{00000000-0006-0000-0400-00001B000000}">
      <text>
        <r>
          <rPr>
            <b/>
            <sz val="9"/>
            <color indexed="81"/>
            <rFont val="Tahoma"/>
            <family val="2"/>
          </rPr>
          <t>Guy:</t>
        </r>
        <r>
          <rPr>
            <sz val="9"/>
            <color indexed="81"/>
            <rFont val="Tahoma"/>
            <family val="2"/>
          </rPr>
          <t xml:space="preserve">
cost per sqft of tile walll, materials and labor</t>
        </r>
      </text>
    </comment>
    <comment ref="E52" authorId="0" shapeId="0" xr:uid="{00000000-0006-0000-0400-00001C000000}">
      <text>
        <r>
          <rPr>
            <b/>
            <sz val="9"/>
            <color indexed="81"/>
            <rFont val="Tahoma"/>
            <family val="2"/>
          </rPr>
          <t>Guy:</t>
        </r>
        <r>
          <rPr>
            <sz val="9"/>
            <color indexed="81"/>
            <rFont val="Tahoma"/>
            <family val="2"/>
          </rPr>
          <t xml:space="preserve">
fixed tub/shower cost plus sqft cost of tiile times times 8 foot high times 14 linear feet of wall</t>
        </r>
      </text>
    </comment>
    <comment ref="F52" authorId="0" shapeId="0" xr:uid="{00000000-0006-0000-0400-00001D000000}">
      <text>
        <r>
          <rPr>
            <b/>
            <sz val="9"/>
            <color indexed="81"/>
            <rFont val="Tahoma"/>
            <family val="2"/>
          </rPr>
          <t>Guy:</t>
        </r>
        <r>
          <rPr>
            <sz val="9"/>
            <color indexed="81"/>
            <rFont val="Tahoma"/>
            <family val="2"/>
          </rPr>
          <t xml:space="preserve">
fixed tub/shower cost plus sqft cost of tiile times
 8 foot high times 11 linear feet of wall</t>
        </r>
      </text>
    </comment>
    <comment ref="G52" authorId="0" shapeId="0" xr:uid="{00000000-0006-0000-0400-00001E000000}">
      <text>
        <r>
          <rPr>
            <b/>
            <sz val="9"/>
            <color indexed="81"/>
            <rFont val="Tahoma"/>
            <family val="2"/>
          </rPr>
          <t>Guy:</t>
        </r>
        <r>
          <rPr>
            <sz val="9"/>
            <color indexed="81"/>
            <rFont val="Tahoma"/>
            <family val="2"/>
          </rPr>
          <t xml:space="preserve">
no tub in powder
</t>
        </r>
      </text>
    </comment>
    <comment ref="C61" authorId="1" shapeId="0" xr:uid="{00000000-0006-0000-0400-00001F000000}">
      <text>
        <r>
          <rPr>
            <b/>
            <sz val="9"/>
            <color indexed="81"/>
            <rFont val="Tahoma"/>
            <family val="2"/>
          </rPr>
          <t>1186341526V:</t>
        </r>
        <r>
          <rPr>
            <sz val="9"/>
            <color indexed="81"/>
            <rFont val="Tahoma"/>
            <family val="2"/>
          </rPr>
          <t xml:space="preserve">
$700 for tub, $500 for glass, both installed
$250 for all in one shower fixture and valve</t>
        </r>
      </text>
    </comment>
    <comment ref="E61" authorId="0" shapeId="0" xr:uid="{00000000-0006-0000-0400-000020000000}">
      <text>
        <r>
          <rPr>
            <b/>
            <sz val="9"/>
            <color indexed="81"/>
            <rFont val="Tahoma"/>
            <family val="2"/>
          </rPr>
          <t>Guy:</t>
        </r>
        <r>
          <rPr>
            <sz val="9"/>
            <color indexed="81"/>
            <rFont val="Tahoma"/>
            <family val="2"/>
          </rPr>
          <t xml:space="preserve">
fixed tub/shower cost plus sqft cost of tiile times 8 foot high walls times 14 linear feet of wall, everything times 1.75 to account for 2nd enclosure/tub</t>
        </r>
      </text>
    </comment>
    <comment ref="F61" authorId="0" shapeId="0" xr:uid="{00000000-0006-0000-0400-000021000000}">
      <text>
        <r>
          <rPr>
            <b/>
            <sz val="9"/>
            <color indexed="81"/>
            <rFont val="Tahoma"/>
            <family val="2"/>
          </rPr>
          <t>Guy:</t>
        </r>
        <r>
          <rPr>
            <sz val="9"/>
            <color indexed="81"/>
            <rFont val="Tahoma"/>
            <family val="2"/>
          </rPr>
          <t xml:space="preserve">
fixed tub/shower cost plus sqft cost of tiile times 8 foot high times 11 linear feet of wall</t>
        </r>
      </text>
    </comment>
    <comment ref="G61" authorId="0" shapeId="0" xr:uid="{00000000-0006-0000-0400-000022000000}">
      <text>
        <r>
          <rPr>
            <b/>
            <sz val="9"/>
            <color indexed="81"/>
            <rFont val="Tahoma"/>
            <family val="2"/>
          </rPr>
          <t>Guy:</t>
        </r>
        <r>
          <rPr>
            <sz val="9"/>
            <color indexed="81"/>
            <rFont val="Tahoma"/>
            <family val="2"/>
          </rPr>
          <t xml:space="preserve">
no tub in powder
</t>
        </r>
      </text>
    </comment>
    <comment ref="G63" authorId="1" shapeId="0" xr:uid="{00000000-0006-0000-0400-000023000000}">
      <text>
        <r>
          <rPr>
            <b/>
            <sz val="9"/>
            <color indexed="81"/>
            <rFont val="Tahoma"/>
            <family val="2"/>
          </rPr>
          <t>1186341526V:</t>
        </r>
        <r>
          <rPr>
            <sz val="9"/>
            <color indexed="81"/>
            <rFont val="Tahoma"/>
            <family val="2"/>
          </rPr>
          <t xml:space="preserve">
75% for no shower light
</t>
        </r>
      </text>
    </comment>
    <comment ref="E64" authorId="1" shapeId="0" xr:uid="{00000000-0006-0000-0400-000024000000}">
      <text>
        <r>
          <rPr>
            <b/>
            <sz val="9"/>
            <color indexed="81"/>
            <rFont val="Tahoma"/>
            <family val="2"/>
          </rPr>
          <t>1186341526V:</t>
        </r>
        <r>
          <rPr>
            <sz val="9"/>
            <color indexed="81"/>
            <rFont val="Tahoma"/>
            <family val="2"/>
          </rPr>
          <t xml:space="preserve">
$150 door, $100 light, $150 fan, all installed</t>
        </r>
      </text>
    </comment>
    <comment ref="C70" authorId="1" shapeId="0" xr:uid="{00000000-0006-0000-0400-000025000000}">
      <text>
        <r>
          <rPr>
            <b/>
            <sz val="9"/>
            <color indexed="81"/>
            <rFont val="Tahoma"/>
            <family val="2"/>
          </rPr>
          <t>1186341526V:</t>
        </r>
        <r>
          <rPr>
            <sz val="9"/>
            <color indexed="81"/>
            <rFont val="Tahoma"/>
            <family val="2"/>
          </rPr>
          <t xml:space="preserve">
$4000 for tub, $1500 for frameless glass, $2000 for multiple shower fixtures and valves</t>
        </r>
      </text>
    </comment>
    <comment ref="D70" authorId="0" shapeId="0" xr:uid="{00000000-0006-0000-0400-000026000000}">
      <text>
        <r>
          <rPr>
            <b/>
            <sz val="9"/>
            <color indexed="81"/>
            <rFont val="Tahoma"/>
            <family val="2"/>
          </rPr>
          <t>Guy:</t>
        </r>
        <r>
          <rPr>
            <sz val="9"/>
            <color indexed="81"/>
            <rFont val="Tahoma"/>
            <family val="2"/>
          </rPr>
          <t xml:space="preserve">
cost per sqft of tile walll and ceiling</t>
        </r>
      </text>
    </comment>
    <comment ref="E70" authorId="0" shapeId="0" xr:uid="{00000000-0006-0000-0400-000027000000}">
      <text>
        <r>
          <rPr>
            <b/>
            <sz val="9"/>
            <color indexed="81"/>
            <rFont val="Tahoma"/>
            <family val="2"/>
          </rPr>
          <t>Guy:</t>
        </r>
        <r>
          <rPr>
            <sz val="9"/>
            <color indexed="81"/>
            <rFont val="Tahoma"/>
            <family val="2"/>
          </rPr>
          <t xml:space="preserve">
fixed tub/shower cost plus sqft cost of tiile times 3 walls times 8 foot high times 14 linear feet of wall, plus cost of tilmes 5x5' ceiling, everything times 1.75 to account 2nd bath/shower</t>
        </r>
      </text>
    </comment>
    <comment ref="F70" authorId="0" shapeId="0" xr:uid="{00000000-0006-0000-0400-000028000000}">
      <text>
        <r>
          <rPr>
            <b/>
            <sz val="9"/>
            <color indexed="81"/>
            <rFont val="Tahoma"/>
            <family val="2"/>
          </rPr>
          <t>Guy:</t>
        </r>
        <r>
          <rPr>
            <sz val="9"/>
            <color indexed="81"/>
            <rFont val="Tahoma"/>
            <family val="2"/>
          </rPr>
          <t xml:space="preserve">
fixed tub/shower cost plus sqft cost of tiile times 3 walls times 8 foot high times 14 linear feet of wall, plus cost of tilmes 5x5' ceiling</t>
        </r>
      </text>
    </comment>
    <comment ref="G70" authorId="0" shapeId="0" xr:uid="{00000000-0006-0000-0400-000029000000}">
      <text>
        <r>
          <rPr>
            <b/>
            <sz val="9"/>
            <color indexed="81"/>
            <rFont val="Tahoma"/>
            <family val="2"/>
          </rPr>
          <t>Guy:</t>
        </r>
        <r>
          <rPr>
            <sz val="9"/>
            <color indexed="81"/>
            <rFont val="Tahoma"/>
            <family val="2"/>
          </rPr>
          <t xml:space="preserve">
no tub in powder
</t>
        </r>
      </text>
    </comment>
    <comment ref="D71" authorId="1" shapeId="0" xr:uid="{00000000-0006-0000-0400-00002A000000}">
      <text>
        <r>
          <rPr>
            <b/>
            <sz val="9"/>
            <color indexed="81"/>
            <rFont val="Tahoma"/>
            <family val="2"/>
          </rPr>
          <t>1186341526V:</t>
        </r>
        <r>
          <rPr>
            <sz val="9"/>
            <color indexed="81"/>
            <rFont val="Tahoma"/>
            <family val="2"/>
          </rPr>
          <t xml:space="preserve">
cost of blinds based on window package level with $150 being the base blinds cost</t>
        </r>
      </text>
    </comment>
    <comment ref="E71" authorId="1" shapeId="0" xr:uid="{00000000-0006-0000-0400-00002B000000}">
      <text>
        <r>
          <rPr>
            <b/>
            <sz val="9"/>
            <color indexed="81"/>
            <rFont val="Tahoma"/>
            <family val="2"/>
          </rPr>
          <t>1186341526V:</t>
        </r>
        <r>
          <rPr>
            <sz val="9"/>
            <color indexed="81"/>
            <rFont val="Tahoma"/>
            <family val="2"/>
          </rPr>
          <t xml:space="preserve">
assume two windows for the master, crown
 is $5 sqft</t>
        </r>
      </text>
    </comment>
    <comment ref="F71" authorId="1" shapeId="0" xr:uid="{00000000-0006-0000-0400-00002C000000}">
      <text>
        <r>
          <rPr>
            <b/>
            <sz val="9"/>
            <color indexed="81"/>
            <rFont val="Tahoma"/>
            <family val="2"/>
          </rPr>
          <t>1186341526V:</t>
        </r>
        <r>
          <rPr>
            <sz val="9"/>
            <color indexed="81"/>
            <rFont val="Tahoma"/>
            <family val="2"/>
          </rPr>
          <t xml:space="preserve">
crown $5 sqft</t>
        </r>
      </text>
    </comment>
    <comment ref="G71" authorId="1" shapeId="0" xr:uid="{00000000-0006-0000-0400-00002D000000}">
      <text>
        <r>
          <rPr>
            <b/>
            <sz val="9"/>
            <color indexed="81"/>
            <rFont val="Tahoma"/>
            <family val="2"/>
          </rPr>
          <t xml:space="preserve">Guy
</t>
        </r>
        <r>
          <rPr>
            <sz val="9"/>
            <color indexed="81"/>
            <rFont val="Tahoma"/>
            <family val="2"/>
          </rPr>
          <t>dividing door cost by 2 under assumption power room will only have single door, crown $5 sqft</t>
        </r>
      </text>
    </comment>
    <comment ref="G72" authorId="1" shapeId="0" xr:uid="{00000000-0006-0000-0400-00002E000000}">
      <text>
        <r>
          <rPr>
            <b/>
            <sz val="9"/>
            <color indexed="81"/>
            <rFont val="Tahoma"/>
            <family val="2"/>
          </rPr>
          <t>1186341526V:</t>
        </r>
        <r>
          <rPr>
            <sz val="9"/>
            <color indexed="81"/>
            <rFont val="Tahoma"/>
            <family val="2"/>
          </rPr>
          <t xml:space="preserve">
75% for no shower lighting</t>
        </r>
      </text>
    </comment>
    <comment ref="E73" authorId="1" shapeId="0" xr:uid="{00000000-0006-0000-0400-00002F000000}">
      <text>
        <r>
          <rPr>
            <b/>
            <sz val="9"/>
            <color indexed="81"/>
            <rFont val="Tahoma"/>
            <family val="2"/>
          </rPr>
          <t>1186341526V:</t>
        </r>
        <r>
          <rPr>
            <sz val="9"/>
            <color indexed="81"/>
            <rFont val="Tahoma"/>
            <family val="2"/>
          </rPr>
          <t xml:space="preserve">
assumes added costs of private toilet area with door, light, and fan will be equal to toilet costs</t>
        </r>
      </text>
    </comment>
    <comment ref="E77" authorId="1" shapeId="0" xr:uid="{00000000-0006-0000-0400-000030000000}">
      <text>
        <r>
          <rPr>
            <b/>
            <sz val="9"/>
            <color indexed="81"/>
            <rFont val="Tahoma"/>
            <family val="2"/>
          </rPr>
          <t>1186341526V:</t>
        </r>
        <r>
          <rPr>
            <sz val="9"/>
            <color indexed="81"/>
            <rFont val="Tahoma"/>
            <family val="2"/>
          </rPr>
          <t xml:space="preserve">
assumes master is bigger and will have more wall tile</t>
        </r>
      </text>
    </comment>
    <comment ref="G77" authorId="1" shapeId="0" xr:uid="{00000000-0006-0000-0400-000031000000}">
      <text>
        <r>
          <rPr>
            <b/>
            <sz val="9"/>
            <color indexed="81"/>
            <rFont val="Tahoma"/>
            <family val="2"/>
          </rPr>
          <t>1186341526V:</t>
        </r>
        <r>
          <rPr>
            <sz val="9"/>
            <color indexed="81"/>
            <rFont val="Tahoma"/>
            <family val="2"/>
          </rPr>
          <t xml:space="preserve">
75% of wall costs assuming smaller bathroom</t>
        </r>
      </text>
    </comment>
    <comment ref="C79" authorId="1" shapeId="0" xr:uid="{00000000-0006-0000-0400-000032000000}">
      <text>
        <r>
          <rPr>
            <b/>
            <sz val="9"/>
            <color indexed="81"/>
            <rFont val="Tahoma"/>
            <family val="2"/>
          </rPr>
          <t>1186341526V:</t>
        </r>
        <r>
          <rPr>
            <sz val="9"/>
            <color indexed="81"/>
            <rFont val="Tahoma"/>
            <family val="2"/>
          </rPr>
          <t xml:space="preserve">
$6500 tub, $2500 for frameless glass, $5000 for rain shower and jets installed fixture installed</t>
        </r>
      </text>
    </comment>
    <comment ref="D79" authorId="0" shapeId="0" xr:uid="{00000000-0006-0000-0400-000033000000}">
      <text>
        <r>
          <rPr>
            <b/>
            <sz val="9"/>
            <color indexed="81"/>
            <rFont val="Tahoma"/>
            <family val="2"/>
          </rPr>
          <t>Guy:</t>
        </r>
        <r>
          <rPr>
            <sz val="9"/>
            <color indexed="81"/>
            <rFont val="Tahoma"/>
            <family val="2"/>
          </rPr>
          <t xml:space="preserve">
cost per sqft of tile walll and ceiling</t>
        </r>
      </text>
    </comment>
    <comment ref="E79" authorId="0" shapeId="0" xr:uid="{00000000-0006-0000-0400-000034000000}">
      <text>
        <r>
          <rPr>
            <b/>
            <sz val="9"/>
            <color indexed="81"/>
            <rFont val="Tahoma"/>
            <family val="2"/>
          </rPr>
          <t>Guy:</t>
        </r>
        <r>
          <rPr>
            <sz val="9"/>
            <color indexed="81"/>
            <rFont val="Tahoma"/>
            <family val="2"/>
          </rPr>
          <t xml:space="preserve">
fixed tub/shower cost plus sqft cost of tiile times 9 foot high times 20 linear feet of wall, plus cost of tilmes 7x7' ceiling, times 1.75 to account for 2nd shower/tub enclosure</t>
        </r>
      </text>
    </comment>
    <comment ref="F79" authorId="0" shapeId="0" xr:uid="{00000000-0006-0000-0400-000035000000}">
      <text>
        <r>
          <rPr>
            <b/>
            <sz val="9"/>
            <color indexed="81"/>
            <rFont val="Tahoma"/>
            <family val="2"/>
          </rPr>
          <t>Guy:</t>
        </r>
        <r>
          <rPr>
            <sz val="9"/>
            <color indexed="81"/>
            <rFont val="Tahoma"/>
            <family val="2"/>
          </rPr>
          <t xml:space="preserve">
fixed tub/shower cost plus sqft cost of tiile times 9 foot high times 20 linear feet of wall, plus cost of tilmes 7x7' ceiling</t>
        </r>
      </text>
    </comment>
    <comment ref="G79" authorId="0" shapeId="0" xr:uid="{00000000-0006-0000-0400-000036000000}">
      <text>
        <r>
          <rPr>
            <b/>
            <sz val="9"/>
            <color indexed="81"/>
            <rFont val="Tahoma"/>
            <family val="2"/>
          </rPr>
          <t>Guy:</t>
        </r>
        <r>
          <rPr>
            <sz val="9"/>
            <color indexed="81"/>
            <rFont val="Tahoma"/>
            <family val="2"/>
          </rPr>
          <t xml:space="preserve">
no tub in powder
</t>
        </r>
      </text>
    </comment>
    <comment ref="C80" authorId="1" shapeId="0" xr:uid="{00000000-0006-0000-0400-000037000000}">
      <text>
        <r>
          <rPr>
            <b/>
            <sz val="9"/>
            <color indexed="81"/>
            <rFont val="Tahoma"/>
            <family val="2"/>
          </rPr>
          <t>1186341526V:</t>
        </r>
        <r>
          <rPr>
            <sz val="9"/>
            <color indexed="81"/>
            <rFont val="Tahoma"/>
            <family val="2"/>
          </rPr>
          <t xml:space="preserve">
$1500 for solid core double door installed
</t>
        </r>
      </text>
    </comment>
    <comment ref="E80" authorId="1" shapeId="0" xr:uid="{00000000-0006-0000-0400-000038000000}">
      <text>
        <r>
          <rPr>
            <b/>
            <sz val="9"/>
            <color indexed="81"/>
            <rFont val="Tahoma"/>
            <family val="2"/>
          </rPr>
          <t>1186341526V:</t>
        </r>
        <r>
          <rPr>
            <sz val="9"/>
            <color indexed="81"/>
            <rFont val="Tahoma"/>
            <family val="2"/>
          </rPr>
          <t xml:space="preserve">
assume two windows for the master, putting baseboard/crown $8 cost in this cell</t>
        </r>
      </text>
    </comment>
    <comment ref="F80" authorId="1" shapeId="0" xr:uid="{00000000-0006-0000-0400-000039000000}">
      <text>
        <r>
          <rPr>
            <b/>
            <sz val="9"/>
            <color indexed="81"/>
            <rFont val="Tahoma"/>
            <family val="2"/>
          </rPr>
          <t>1186341526V:</t>
        </r>
        <r>
          <rPr>
            <sz val="9"/>
            <color indexed="81"/>
            <rFont val="Tahoma"/>
            <family val="2"/>
          </rPr>
          <t xml:space="preserve">
putting baseboard/crown $8 cost in this cell</t>
        </r>
      </text>
    </comment>
    <comment ref="G80" authorId="1" shapeId="0" xr:uid="{00000000-0006-0000-0400-00003A000000}">
      <text>
        <r>
          <rPr>
            <b/>
            <sz val="9"/>
            <color indexed="81"/>
            <rFont val="Tahoma"/>
            <family val="2"/>
          </rPr>
          <t xml:space="preserve">Guy
</t>
        </r>
        <r>
          <rPr>
            <sz val="9"/>
            <color indexed="81"/>
            <rFont val="Tahoma"/>
            <family val="2"/>
          </rPr>
          <t>dividing door cost by 2 under assumption power room will only have single door, putting baseboard/crown $8 cost in this cell</t>
        </r>
      </text>
    </comment>
    <comment ref="G81" authorId="1" shapeId="0" xr:uid="{00000000-0006-0000-0400-00003B000000}">
      <text>
        <r>
          <rPr>
            <b/>
            <sz val="9"/>
            <color indexed="81"/>
            <rFont val="Tahoma"/>
            <family val="2"/>
          </rPr>
          <t>1186341526V:</t>
        </r>
        <r>
          <rPr>
            <sz val="9"/>
            <color indexed="81"/>
            <rFont val="Tahoma"/>
            <family val="2"/>
          </rPr>
          <t xml:space="preserve">
75% for no
 shower lighting</t>
        </r>
      </text>
    </comment>
    <comment ref="G82" authorId="1" shapeId="0" xr:uid="{00000000-0006-0000-0400-00003C000000}">
      <text>
        <r>
          <rPr>
            <b/>
            <sz val="9"/>
            <color indexed="81"/>
            <rFont val="Tahoma"/>
            <family val="2"/>
          </rPr>
          <t>1186341526V:</t>
        </r>
        <r>
          <rPr>
            <sz val="9"/>
            <color indexed="81"/>
            <rFont val="Tahoma"/>
            <family val="2"/>
          </rPr>
          <t xml:space="preserve">
-$1000 less because toilet is already priviate</t>
        </r>
      </text>
    </comment>
    <comment ref="C89" authorId="0" shapeId="0" xr:uid="{00000000-0006-0000-0400-00003D000000}">
      <text>
        <r>
          <rPr>
            <b/>
            <sz val="9"/>
            <color indexed="81"/>
            <rFont val="Tahoma"/>
            <family val="2"/>
          </rPr>
          <t>Guy:</t>
        </r>
        <r>
          <rPr>
            <sz val="9"/>
            <color indexed="81"/>
            <rFont val="Tahoma"/>
            <family val="2"/>
          </rPr>
          <t xml:space="preserve">
installed with $1500 labor
- assumes $480 per liinear foot of base/wall cabinets, 28' for 16x12 kitchen plus 6' of island (no wall cabinets for island, so $240 per linear foot)
- about $500 for pantry materiials and labor
- $5 a pull equates to about 50 cents a sqft in hardware costs</t>
        </r>
      </text>
    </comment>
    <comment ref="D89" authorId="0" shapeId="0" xr:uid="{00000000-0006-0000-0400-00003E000000}">
      <text>
        <r>
          <rPr>
            <b/>
            <sz val="9"/>
            <color indexed="81"/>
            <rFont val="Tahoma"/>
            <family val="2"/>
          </rPr>
          <t>Guy:</t>
        </r>
        <r>
          <rPr>
            <sz val="9"/>
            <color indexed="81"/>
            <rFont val="Tahoma"/>
            <family val="2"/>
          </rPr>
          <t xml:space="preserve">
about the right number to enable linear foot increases of cabinets for larger kitchen based on linear foot prices of cabinet and extra install time, 50 cents a sqft for hardware to account for $5 per pull</t>
        </r>
      </text>
    </comment>
    <comment ref="C90" authorId="0" shapeId="0" xr:uid="{00000000-0006-0000-0400-00003F000000}">
      <text>
        <r>
          <rPr>
            <b/>
            <sz val="9"/>
            <color indexed="81"/>
            <rFont val="Tahoma"/>
            <family val="2"/>
          </rPr>
          <t>Guy:</t>
        </r>
        <r>
          <rPr>
            <sz val="9"/>
            <color indexed="81"/>
            <rFont val="Tahoma"/>
            <family val="2"/>
          </rPr>
          <t xml:space="preserve">
no labor or plumbing included, $500 for range hood</t>
        </r>
      </text>
    </comment>
    <comment ref="D90" authorId="0" shapeId="0" xr:uid="{00000000-0006-0000-0400-000040000000}">
      <text>
        <r>
          <rPr>
            <b/>
            <sz val="9"/>
            <color indexed="81"/>
            <rFont val="Tahoma"/>
            <family val="2"/>
          </rPr>
          <t>Guy:</t>
        </r>
        <r>
          <rPr>
            <sz val="9"/>
            <color indexed="81"/>
            <rFont val="Tahoma"/>
            <family val="2"/>
          </rPr>
          <t xml:space="preserve">
assume bigger fridge and microwave for bigger kitchen</t>
        </r>
      </text>
    </comment>
    <comment ref="C91" authorId="0" shapeId="0" xr:uid="{00000000-0006-0000-0400-000041000000}">
      <text>
        <r>
          <rPr>
            <b/>
            <sz val="9"/>
            <color indexed="81"/>
            <rFont val="Tahoma"/>
            <family val="2"/>
          </rPr>
          <t>Guy:</t>
        </r>
        <r>
          <rPr>
            <sz val="9"/>
            <color indexed="81"/>
            <rFont val="Tahoma"/>
            <family val="2"/>
          </rPr>
          <t xml:space="preserve">
about $35 a sqft of countertop, assumes losing about 8' linear feet of countertop for fridge, oven, sink (35*20*2 + 35*6*3)</t>
        </r>
      </text>
    </comment>
    <comment ref="B92" authorId="0" shapeId="0" xr:uid="{00000000-0006-0000-0400-000042000000}">
      <text>
        <r>
          <rPr>
            <b/>
            <sz val="9"/>
            <color indexed="81"/>
            <rFont val="Tahoma"/>
            <family val="2"/>
          </rPr>
          <t>Guy:</t>
        </r>
        <r>
          <rPr>
            <sz val="9"/>
            <color indexed="81"/>
            <rFont val="Tahoma"/>
            <family val="2"/>
          </rPr>
          <t xml:space="preserve">
Sink - $100
http://www.moen.com/2200-series/25-x22-stainless-steel-22-gauge-single-bowl-drop-in-sink/_/R-CONSUMER%3AG221984?next=SiteSearch.Image%7CPDP
Faucet - $200
http://www.moen.com/banbury/spot-resist-stainless-one-handle-pullout-kitchen-faucet/_/R-CONSUMER%3A87017SRS?next=SiteSearch.Image%7CPDP</t>
        </r>
      </text>
    </comment>
    <comment ref="D92" authorId="0" shapeId="0" xr:uid="{00000000-0006-0000-0400-000043000000}">
      <text>
        <r>
          <rPr>
            <b/>
            <sz val="9"/>
            <color indexed="81"/>
            <rFont val="Tahoma"/>
            <family val="2"/>
          </rPr>
          <t>Guy:</t>
        </r>
        <r>
          <rPr>
            <sz val="9"/>
            <color indexed="81"/>
            <rFont val="Tahoma"/>
            <family val="2"/>
          </rPr>
          <t xml:space="preserve">
sqft costs to allow for larger sink</t>
        </r>
      </text>
    </comment>
    <comment ref="D93" authorId="0" shapeId="0" xr:uid="{00000000-0006-0000-0400-000044000000}">
      <text>
        <r>
          <rPr>
            <b/>
            <sz val="9"/>
            <color indexed="81"/>
            <rFont val="Tahoma"/>
            <family val="2"/>
          </rPr>
          <t>Guy:</t>
        </r>
        <r>
          <rPr>
            <sz val="9"/>
            <color indexed="81"/>
            <rFont val="Tahoma"/>
            <family val="2"/>
          </rPr>
          <t xml:space="preserve">
not a lot of baseboardi in a kitchen, so assuming low cost per sqft of kitchen</t>
        </r>
      </text>
    </comment>
    <comment ref="D94" authorId="0" shapeId="0" xr:uid="{00000000-0006-0000-0400-000045000000}">
      <text>
        <r>
          <rPr>
            <b/>
            <sz val="9"/>
            <color indexed="81"/>
            <rFont val="Tahoma"/>
            <family val="2"/>
          </rPr>
          <t>Guy:</t>
        </r>
        <r>
          <rPr>
            <sz val="9"/>
            <color indexed="81"/>
            <rFont val="Tahoma"/>
            <family val="2"/>
          </rPr>
          <t xml:space="preserve">
alllowing for more lights for a bigger kitchen</t>
        </r>
      </text>
    </comment>
    <comment ref="C97" authorId="0" shapeId="0" xr:uid="{00000000-0006-0000-0400-000046000000}">
      <text>
        <r>
          <rPr>
            <b/>
            <sz val="9"/>
            <color indexed="81"/>
            <rFont val="Tahoma"/>
            <family val="2"/>
          </rPr>
          <t>Guy:</t>
        </r>
        <r>
          <rPr>
            <sz val="9"/>
            <color indexed="81"/>
            <rFont val="Tahoma"/>
            <family val="2"/>
          </rPr>
          <t xml:space="preserve">
installed with $1500 labor
- assumes $640 per liinear foot of base/wall cabinets, 28' for 16x12 kitchen plus 6' of island (no wall cabinets for island, so $320 per linear foot)
- about $750 for pantry materiials and labor
$11 a pull equates to about $1.1 a sqft in pull costs</t>
        </r>
      </text>
    </comment>
    <comment ref="D97" authorId="2" shapeId="0" xr:uid="{8A62C0D3-25C1-4432-B310-ADB97C5BC451}">
      <text>
        <r>
          <rPr>
            <b/>
            <sz val="9"/>
            <color indexed="81"/>
            <rFont val="Tahoma"/>
            <family val="2"/>
          </rPr>
          <t>guy barth:</t>
        </r>
        <r>
          <rPr>
            <sz val="9"/>
            <color indexed="81"/>
            <rFont val="Tahoma"/>
            <family val="2"/>
          </rPr>
          <t xml:space="preserve">
$49 for cabinets, $1.1 for pulls</t>
        </r>
      </text>
    </comment>
    <comment ref="C98" authorId="0" shapeId="0" xr:uid="{00000000-0006-0000-0400-000047000000}">
      <text>
        <r>
          <rPr>
            <b/>
            <sz val="9"/>
            <color indexed="81"/>
            <rFont val="Tahoma"/>
            <family val="2"/>
          </rPr>
          <t>Guy:</t>
        </r>
        <r>
          <rPr>
            <sz val="9"/>
            <color indexed="81"/>
            <rFont val="Tahoma"/>
            <family val="2"/>
          </rPr>
          <t xml:space="preserve">
no labor or plumbing, includes $750 for range hood</t>
        </r>
      </text>
    </comment>
    <comment ref="D98" authorId="0" shapeId="0" xr:uid="{00000000-0006-0000-0400-000048000000}">
      <text>
        <r>
          <rPr>
            <b/>
            <sz val="9"/>
            <color indexed="81"/>
            <rFont val="Tahoma"/>
            <family val="2"/>
          </rPr>
          <t>Guy:</t>
        </r>
        <r>
          <rPr>
            <sz val="9"/>
            <color indexed="81"/>
            <rFont val="Tahoma"/>
            <family val="2"/>
          </rPr>
          <t xml:space="preserve">
assume bigger fridge and microwave for bigger kitchen</t>
        </r>
      </text>
    </comment>
    <comment ref="C99" authorId="0" shapeId="0" xr:uid="{00000000-0006-0000-0400-000049000000}">
      <text>
        <r>
          <rPr>
            <b/>
            <sz val="9"/>
            <color indexed="81"/>
            <rFont val="Tahoma"/>
            <family val="2"/>
          </rPr>
          <t>Guy:</t>
        </r>
        <r>
          <rPr>
            <sz val="9"/>
            <color indexed="81"/>
            <rFont val="Tahoma"/>
            <family val="2"/>
          </rPr>
          <t xml:space="preserve">
about $50 a sqft of countertop, 30% more countertop than bronze</t>
        </r>
      </text>
    </comment>
    <comment ref="B100" authorId="0" shapeId="0" xr:uid="{00000000-0006-0000-0400-00004A00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D100" authorId="0" shapeId="0" xr:uid="{00000000-0006-0000-0400-00004B000000}">
      <text>
        <r>
          <rPr>
            <b/>
            <sz val="9"/>
            <color indexed="81"/>
            <rFont val="Tahoma"/>
            <family val="2"/>
          </rPr>
          <t>Guy:</t>
        </r>
        <r>
          <rPr>
            <sz val="9"/>
            <color indexed="81"/>
            <rFont val="Tahoma"/>
            <family val="2"/>
          </rPr>
          <t xml:space="preserve">
sqft costs to allow for larger sink</t>
        </r>
      </text>
    </comment>
    <comment ref="D102" authorId="0" shapeId="0" xr:uid="{00000000-0006-0000-0400-00004C000000}">
      <text>
        <r>
          <rPr>
            <b/>
            <sz val="9"/>
            <color indexed="81"/>
            <rFont val="Tahoma"/>
            <family val="2"/>
          </rPr>
          <t>Guy:</t>
        </r>
        <r>
          <rPr>
            <sz val="9"/>
            <color indexed="81"/>
            <rFont val="Tahoma"/>
            <family val="2"/>
          </rPr>
          <t xml:space="preserve">
alllowing for more lights for a bigger kitchen</t>
        </r>
      </text>
    </comment>
    <comment ref="C105" authorId="0" shapeId="0" xr:uid="{00000000-0006-0000-0400-00004D000000}">
      <text>
        <r>
          <rPr>
            <b/>
            <sz val="9"/>
            <color indexed="81"/>
            <rFont val="Tahoma"/>
            <family val="2"/>
          </rPr>
          <t>Guy:</t>
        </r>
        <r>
          <rPr>
            <sz val="9"/>
            <color indexed="81"/>
            <rFont val="Tahoma"/>
            <family val="2"/>
          </rPr>
          <t xml:space="preserve">
installed with $2000 labor
- assumes $850 per liinear foot of base/wall cabinets, 28' for 16x12 kitchen plus 6' of island (no wall cabinets for island, so $425 per linear foot)
- about $2000 for pantry materiials and labor
- $30 a pull equates to about $3 a sqft in hardware costs</t>
        </r>
      </text>
    </comment>
    <comment ref="D105" authorId="2" shapeId="0" xr:uid="{37590469-2199-409B-BD46-537120ACFAF5}">
      <text>
        <r>
          <rPr>
            <b/>
            <sz val="9"/>
            <color indexed="81"/>
            <rFont val="Tahoma"/>
            <family val="2"/>
          </rPr>
          <t>guy barth:</t>
        </r>
        <r>
          <rPr>
            <sz val="9"/>
            <color indexed="81"/>
            <rFont val="Tahoma"/>
            <family val="2"/>
          </rPr>
          <t xml:space="preserve">
$65 for cabinets, $3 for pulls</t>
        </r>
      </text>
    </comment>
    <comment ref="C106" authorId="0" shapeId="0" xr:uid="{00000000-0006-0000-0400-00004E000000}">
      <text>
        <r>
          <rPr>
            <b/>
            <sz val="9"/>
            <color indexed="81"/>
            <rFont val="Tahoma"/>
            <family val="2"/>
          </rPr>
          <t>Guy:</t>
        </r>
        <r>
          <rPr>
            <sz val="9"/>
            <color indexed="81"/>
            <rFont val="Tahoma"/>
            <family val="2"/>
          </rPr>
          <t xml:space="preserve">
range - $9500
dishwasher - free with range, otherwise 1700
fridge - $12000
beverage fridge - $3400
microwave - $1600
hood - $3500
disposal - $300</t>
        </r>
      </text>
    </comment>
    <comment ref="D106" authorId="0" shapeId="0" xr:uid="{00000000-0006-0000-0400-00004F000000}">
      <text>
        <r>
          <rPr>
            <b/>
            <sz val="9"/>
            <color indexed="81"/>
            <rFont val="Tahoma"/>
            <family val="2"/>
          </rPr>
          <t>Guy</t>
        </r>
      </text>
    </comment>
    <comment ref="C107" authorId="0" shapeId="0" xr:uid="{00000000-0006-0000-0400-000050000000}">
      <text>
        <r>
          <rPr>
            <b/>
            <sz val="9"/>
            <color indexed="81"/>
            <rFont val="Tahoma"/>
            <family val="2"/>
          </rPr>
          <t>Guy:</t>
        </r>
        <r>
          <rPr>
            <sz val="9"/>
            <color indexed="81"/>
            <rFont val="Tahoma"/>
            <family val="2"/>
          </rPr>
          <t xml:space="preserve">
about $80 a sqft of countertop, 60% more countertop than bronze</t>
        </r>
      </text>
    </comment>
    <comment ref="B108" authorId="0" shapeId="0" xr:uid="{00000000-0006-0000-0400-00005100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108" authorId="0" shapeId="0" xr:uid="{00000000-0006-0000-0400-000052000000}">
      <text>
        <r>
          <rPr>
            <b/>
            <sz val="9"/>
            <color indexed="81"/>
            <rFont val="Tahoma"/>
            <family val="2"/>
          </rPr>
          <t>Guy:</t>
        </r>
        <r>
          <rPr>
            <sz val="9"/>
            <color indexed="81"/>
            <rFont val="Tahoma"/>
            <family val="2"/>
          </rPr>
          <t xml:space="preserve">
sqft costs to allow for larger sink</t>
        </r>
      </text>
    </comment>
    <comment ref="B109" authorId="0" shapeId="0" xr:uid="{00000000-0006-0000-0400-000053000000}">
      <text>
        <r>
          <rPr>
            <b/>
            <sz val="9"/>
            <color indexed="81"/>
            <rFont val="Tahoma"/>
            <family val="2"/>
          </rPr>
          <t>Guy:</t>
        </r>
        <r>
          <rPr>
            <sz val="9"/>
            <color indexed="81"/>
            <rFont val="Tahoma"/>
            <family val="2"/>
          </rPr>
          <t xml:space="preserve">
level 3 tiile ($12 tile, $2 other materials, $1k labor) 25' linear with 1.5' high tile plus 24 sqft above oven to ceiling
custom trim/soffit - $2000
coffered ceilling - $2000 for carpentry and materials, $500 more for drywall</t>
        </r>
      </text>
    </comment>
    <comment ref="D110" authorId="0" shapeId="0" xr:uid="{00000000-0006-0000-0400-000054000000}">
      <text>
        <r>
          <rPr>
            <b/>
            <sz val="9"/>
            <color indexed="81"/>
            <rFont val="Tahoma"/>
            <family val="2"/>
          </rPr>
          <t>Guy:</t>
        </r>
        <r>
          <rPr>
            <sz val="9"/>
            <color indexed="81"/>
            <rFont val="Tahoma"/>
            <family val="2"/>
          </rPr>
          <t xml:space="preserve">
alllowing for more lights for a bigger kitchen</t>
        </r>
      </text>
    </comment>
    <comment ref="C113" authorId="0" shapeId="0" xr:uid="{00000000-0006-0000-0400-000055000000}">
      <text>
        <r>
          <rPr>
            <b/>
            <sz val="9"/>
            <color indexed="81"/>
            <rFont val="Tahoma"/>
            <family val="2"/>
          </rPr>
          <t>Guy:</t>
        </r>
        <r>
          <rPr>
            <sz val="9"/>
            <color indexed="81"/>
            <rFont val="Tahoma"/>
            <family val="2"/>
          </rPr>
          <t xml:space="preserve">
installed with $3000 labor
- assumes $1200 per liinear foot of base/wall cabinets, 28' for 16x12 kitchen plus 6' of island (no wall cabinets for island, so $600 per linear foot)
- about $5000 for pantry materiials and labor
-$80 a pull equates to about $8 a sqft in hardware costs</t>
        </r>
      </text>
    </comment>
    <comment ref="D113" authorId="2" shapeId="0" xr:uid="{C8805796-3731-4B83-A222-08BD36F46A24}">
      <text>
        <r>
          <rPr>
            <b/>
            <sz val="9"/>
            <color indexed="81"/>
            <rFont val="Tahoma"/>
            <family val="2"/>
          </rPr>
          <t>guy barth:</t>
        </r>
        <r>
          <rPr>
            <sz val="9"/>
            <color indexed="81"/>
            <rFont val="Tahoma"/>
            <family val="2"/>
          </rPr>
          <t xml:space="preserve">
$91 for cabinets
$8 for hardware</t>
        </r>
      </text>
    </comment>
    <comment ref="C114" authorId="0" shapeId="0" xr:uid="{00000000-0006-0000-0400-000056000000}">
      <text>
        <r>
          <rPr>
            <b/>
            <sz val="9"/>
            <color indexed="81"/>
            <rFont val="Tahoma"/>
            <family val="2"/>
          </rPr>
          <t>Guy:</t>
        </r>
        <r>
          <rPr>
            <sz val="9"/>
            <color indexed="81"/>
            <rFont val="Tahoma"/>
            <family val="2"/>
          </rPr>
          <t xml:space="preserve">
range - 10,800
dishwashers - 2000 a piece
fridge - 12,000
beverage fridge - $3,800
microwave - $1,900
hood - $4,500
cooler drawers - $4,000
</t>
        </r>
      </text>
    </comment>
    <comment ref="C115" authorId="0" shapeId="0" xr:uid="{00000000-0006-0000-0400-000058000000}">
      <text>
        <r>
          <rPr>
            <b/>
            <sz val="9"/>
            <color indexed="81"/>
            <rFont val="Tahoma"/>
            <family val="2"/>
          </rPr>
          <t>Guy:</t>
        </r>
        <r>
          <rPr>
            <sz val="9"/>
            <color indexed="81"/>
            <rFont val="Tahoma"/>
            <family val="2"/>
          </rPr>
          <t xml:space="preserve">
about $140 a sqft of countertop, twice as much countertop as bronze</t>
        </r>
      </text>
    </comment>
    <comment ref="D116" authorId="0" shapeId="0" xr:uid="{00000000-0006-0000-0400-000059000000}">
      <text>
        <r>
          <rPr>
            <b/>
            <sz val="9"/>
            <color indexed="81"/>
            <rFont val="Tahoma"/>
            <family val="2"/>
          </rPr>
          <t>Guy:</t>
        </r>
        <r>
          <rPr>
            <sz val="9"/>
            <color indexed="81"/>
            <rFont val="Tahoma"/>
            <family val="2"/>
          </rPr>
          <t xml:space="preserve">
sqft costs to allow for larger sink</t>
        </r>
      </text>
    </comment>
    <comment ref="B117" authorId="0" shapeId="0" xr:uid="{00000000-0006-0000-0400-00005A000000}">
      <text>
        <r>
          <rPr>
            <b/>
            <sz val="9"/>
            <color indexed="81"/>
            <rFont val="Tahoma"/>
            <family val="2"/>
          </rPr>
          <t>Guy:</t>
        </r>
        <r>
          <rPr>
            <sz val="9"/>
            <color indexed="81"/>
            <rFont val="Tahoma"/>
            <family val="2"/>
          </rPr>
          <t xml:space="preserve">
level 5 tiile ($25 materials, $6 labor) 25' linear with 1.5' high tile
custom beams/ceiling - $10,0000 labor and materials
manual window treatments - $150 base, but increase for window package level and then for size of kitchen</t>
        </r>
      </text>
    </comment>
    <comment ref="D117" authorId="0" shapeId="0" xr:uid="{00000000-0006-0000-0400-00005B000000}">
      <text>
        <r>
          <rPr>
            <b/>
            <sz val="9"/>
            <color indexed="81"/>
            <rFont val="Tahoma"/>
            <family val="2"/>
          </rPr>
          <t>Guy:</t>
        </r>
        <r>
          <rPr>
            <sz val="9"/>
            <color indexed="81"/>
            <rFont val="Tahoma"/>
            <family val="2"/>
          </rPr>
          <t xml:space="preserve">
grouping blacksplash tile, ceiling/beams, trim, and window treatments into a per sqft cost</t>
        </r>
      </text>
    </comment>
    <comment ref="D118" authorId="0" shapeId="0" xr:uid="{00000000-0006-0000-0400-00005C000000}">
      <text>
        <r>
          <rPr>
            <b/>
            <sz val="9"/>
            <color indexed="81"/>
            <rFont val="Tahoma"/>
            <family val="2"/>
          </rPr>
          <t>Guy:</t>
        </r>
        <r>
          <rPr>
            <sz val="9"/>
            <color indexed="81"/>
            <rFont val="Tahoma"/>
            <family val="2"/>
          </rPr>
          <t xml:space="preserve">
alllowing for more lights for a bigger kitchen</t>
        </r>
      </text>
    </comment>
    <comment ref="B122" authorId="1" shapeId="0" xr:uid="{00000000-0006-0000-0400-00005D000000}">
      <text>
        <r>
          <rPr>
            <b/>
            <sz val="9"/>
            <color indexed="81"/>
            <rFont val="Tahoma"/>
            <family val="2"/>
          </rPr>
          <t>1186341526V:</t>
        </r>
        <r>
          <rPr>
            <sz val="9"/>
            <color indexed="81"/>
            <rFont val="Tahoma"/>
            <family val="2"/>
          </rPr>
          <t xml:space="preserve">
- need to add ceilings for hallways/transition areas</t>
        </r>
      </text>
    </comment>
    <comment ref="D124" authorId="0" shapeId="0" xr:uid="{00000000-0006-0000-0400-00005E000000}">
      <text>
        <r>
          <rPr>
            <b/>
            <sz val="9"/>
            <color indexed="81"/>
            <rFont val="Tahoma"/>
            <family val="2"/>
          </rPr>
          <t>Guy:</t>
        </r>
        <r>
          <rPr>
            <sz val="9"/>
            <color indexed="81"/>
            <rFont val="Tahoma"/>
            <family val="2"/>
          </rPr>
          <t xml:space="preserve">
nothing for paint, 50 cents a sqft for baseboards</t>
        </r>
      </text>
    </comment>
    <comment ref="G124" authorId="0" shapeId="0" xr:uid="{00000000-0006-0000-0400-00005F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B125" authorId="1" shapeId="0" xr:uid="{00000000-0006-0000-0400-000060000000}">
      <text>
        <r>
          <rPr>
            <b/>
            <sz val="9"/>
            <color indexed="81"/>
            <rFont val="Tahoma"/>
            <family val="2"/>
          </rPr>
          <t>1186341526V:</t>
        </r>
        <r>
          <rPr>
            <sz val="9"/>
            <color indexed="81"/>
            <rFont val="Tahoma"/>
            <family val="2"/>
          </rPr>
          <t xml:space="preserve">
need to add ceiling costs for transition and hallways areas for bronze-platinum</t>
        </r>
      </text>
    </comment>
    <comment ref="C131" authorId="0" shapeId="0" xr:uid="{00000000-0006-0000-0400-000061000000}">
      <text>
        <r>
          <rPr>
            <b/>
            <sz val="9"/>
            <color indexed="81"/>
            <rFont val="Tahoma"/>
            <family val="2"/>
          </rPr>
          <t>Guy:</t>
        </r>
        <r>
          <rPr>
            <sz val="9"/>
            <color indexed="81"/>
            <rFont val="Tahoma"/>
            <family val="2"/>
          </rPr>
          <t xml:space="preserve">
$50 for custom paint</t>
        </r>
      </text>
    </comment>
    <comment ref="G131" authorId="0" shapeId="0" xr:uid="{00000000-0006-0000-0400-000062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132" authorId="0" shapeId="0" xr:uid="{00000000-0006-0000-0400-000063000000}">
      <text>
        <r>
          <rPr>
            <b/>
            <sz val="9"/>
            <color indexed="81"/>
            <rFont val="Tahoma"/>
            <family val="2"/>
          </rPr>
          <t>Guy:</t>
        </r>
        <r>
          <rPr>
            <sz val="9"/>
            <color indexed="81"/>
            <rFont val="Tahoma"/>
            <family val="2"/>
          </rPr>
          <t xml:space="preserve">
nothing for paint, $1.5 a sqft for crown</t>
        </r>
      </text>
    </comment>
    <comment ref="C134" authorId="0" shapeId="0" xr:uid="{00000000-0006-0000-0400-000064000000}">
      <text>
        <r>
          <rPr>
            <b/>
            <sz val="9"/>
            <color indexed="81"/>
            <rFont val="Tahoma"/>
            <family val="2"/>
          </rPr>
          <t>Guy:</t>
        </r>
        <r>
          <rPr>
            <sz val="9"/>
            <color indexed="81"/>
            <rFont val="Tahoma"/>
            <family val="2"/>
          </rPr>
          <t xml:space="preserve">
$150 for one light fan, $125 per recessed light</t>
        </r>
      </text>
    </comment>
    <comment ref="D134" authorId="0" shapeId="0" xr:uid="{00000000-0006-0000-0400-000065000000}">
      <text>
        <r>
          <rPr>
            <b/>
            <sz val="9"/>
            <color indexed="81"/>
            <rFont val="Tahoma"/>
            <family val="2"/>
          </rPr>
          <t>Guy:</t>
        </r>
        <r>
          <rPr>
            <sz val="9"/>
            <color indexed="81"/>
            <rFont val="Tahoma"/>
            <family val="2"/>
          </rPr>
          <t xml:space="preserve">
$1.1 accounts for extra fan/light at $150 and more recessed lights</t>
        </r>
      </text>
    </comment>
    <comment ref="D138" authorId="0" shapeId="0" xr:uid="{00000000-0006-0000-0400-000066000000}">
      <text>
        <r>
          <rPr>
            <b/>
            <sz val="9"/>
            <color indexed="81"/>
            <rFont val="Tahoma"/>
            <family val="2"/>
          </rPr>
          <t>Guy:</t>
        </r>
        <r>
          <rPr>
            <sz val="9"/>
            <color indexed="81"/>
            <rFont val="Tahoma"/>
            <family val="2"/>
          </rPr>
          <t xml:space="preserve">
$4 sqft for wainscoating (includes extra paint labor)
$11 sqft for feature wall (assume 135 sqft for 325 sqft room, so multiply 11 times 135/325 to get price per sqft of room, which is 4.6)</t>
        </r>
      </text>
    </comment>
    <comment ref="D139" authorId="0" shapeId="0" xr:uid="{00000000-0006-0000-0400-000067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D140" authorId="0" shapeId="0" xr:uid="{00000000-0006-0000-0400-000068000000}">
      <text>
        <r>
          <rPr>
            <b/>
            <sz val="9"/>
            <color indexed="81"/>
            <rFont val="Tahoma"/>
            <family val="2"/>
          </rPr>
          <t>Guy:</t>
        </r>
        <r>
          <rPr>
            <sz val="9"/>
            <color indexed="81"/>
            <rFont val="Tahoma"/>
            <family val="2"/>
          </rPr>
          <t xml:space="preserve">
- assumes $150 per blind, and one blind per 60 sqft of room space (150/60 is 2.5)</t>
        </r>
      </text>
    </comment>
    <comment ref="G140" authorId="0" shapeId="0" xr:uid="{00000000-0006-0000-0400-000069000000}">
      <text>
        <r>
          <rPr>
            <b/>
            <sz val="9"/>
            <color indexed="81"/>
            <rFont val="Tahoma"/>
            <family val="2"/>
          </rPr>
          <t>Guy:</t>
        </r>
        <r>
          <rPr>
            <sz val="9"/>
            <color indexed="81"/>
            <rFont val="Tahoma"/>
            <family val="2"/>
          </rPr>
          <t xml:space="preserve">
- just includes floor height assumption that blinds will be proportionaly bigger/cost for windows a foot in height per foot in floor height
- angles not included because assuming angles won't affect blinds</t>
        </r>
      </text>
    </comment>
    <comment ref="C141" authorId="0" shapeId="0" xr:uid="{00000000-0006-0000-0400-00006A000000}">
      <text>
        <r>
          <rPr>
            <b/>
            <sz val="9"/>
            <color indexed="81"/>
            <rFont val="Tahoma"/>
            <family val="2"/>
          </rPr>
          <t>Guy:</t>
        </r>
        <r>
          <rPr>
            <sz val="9"/>
            <color indexed="81"/>
            <rFont val="Tahoma"/>
            <family val="2"/>
          </rPr>
          <t xml:space="preserve">
$800 for signature light fixture, $300 for one light fan, $125 per recessed light</t>
        </r>
      </text>
    </comment>
    <comment ref="D141" authorId="0" shapeId="0" xr:uid="{00000000-0006-0000-0400-00006B000000}">
      <text>
        <r>
          <rPr>
            <b/>
            <sz val="9"/>
            <color indexed="81"/>
            <rFont val="Tahoma"/>
            <family val="2"/>
          </rPr>
          <t>Guy:</t>
        </r>
        <r>
          <rPr>
            <sz val="9"/>
            <color indexed="81"/>
            <rFont val="Tahoma"/>
            <family val="2"/>
          </rPr>
          <t xml:space="preserve">
$1.3 accounts for extra fan/light at $300 and more recessed lights</t>
        </r>
      </text>
    </comment>
    <comment ref="C142" authorId="0" shapeId="0" xr:uid="{00000000-0006-0000-0400-00006C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D145" authorId="0" shapeId="0" xr:uid="{00000000-0006-0000-0400-00006D000000}">
      <text>
        <r>
          <rPr>
            <b/>
            <sz val="9"/>
            <color indexed="81"/>
            <rFont val="Tahoma"/>
            <family val="2"/>
          </rPr>
          <t>Guy:</t>
        </r>
        <r>
          <rPr>
            <sz val="9"/>
            <color indexed="81"/>
            <rFont val="Tahoma"/>
            <family val="2"/>
          </rPr>
          <t xml:space="preserve">
$6 sqft for wainscoating (includes extra paint labor)
$25 sqft for feature wall (assume 135 sqft for 325 sqft room, so multiply 25 times 135/325 to get price per sqft of room, which is 10.4)</t>
        </r>
      </text>
    </comment>
    <comment ref="D146" authorId="0" shapeId="0" xr:uid="{00000000-0006-0000-0400-00006E000000}">
      <text>
        <r>
          <rPr>
            <b/>
            <sz val="9"/>
            <color indexed="81"/>
            <rFont val="Tahoma"/>
            <family val="2"/>
          </rPr>
          <t>Guy:</t>
        </r>
        <r>
          <rPr>
            <sz val="9"/>
            <color indexed="81"/>
            <rFont val="Tahoma"/>
            <family val="2"/>
          </rPr>
          <t xml:space="preserve">
$5 labor (install, sand/poly)
$3 materials</t>
        </r>
      </text>
    </comment>
    <comment ref="D147" authorId="0" shapeId="0" xr:uid="{00000000-0006-0000-0400-00006F000000}">
      <text>
        <r>
          <rPr>
            <b/>
            <sz val="9"/>
            <color indexed="81"/>
            <rFont val="Tahoma"/>
            <family val="2"/>
          </rPr>
          <t>Guy:</t>
        </r>
        <r>
          <rPr>
            <sz val="9"/>
            <color indexed="81"/>
            <rFont val="Tahoma"/>
            <family val="2"/>
          </rPr>
          <t xml:space="preserve">
- assumes $300 per motirzed blind, and one blind per 60 sqft of room space (300/60 is 5)</t>
        </r>
      </text>
    </comment>
    <comment ref="G147" authorId="0" shapeId="0" xr:uid="{00000000-0006-0000-0400-000070000000}">
      <text>
        <r>
          <rPr>
            <b/>
            <sz val="9"/>
            <color indexed="81"/>
            <rFont val="Tahoma"/>
            <family val="2"/>
          </rPr>
          <t>Guy:</t>
        </r>
        <r>
          <rPr>
            <sz val="9"/>
            <color indexed="81"/>
            <rFont val="Tahoma"/>
            <family val="2"/>
          </rPr>
          <t xml:space="preserve">
- just includes floor height assumption that blinds will be proportionaly bigger/cost for windows a foot in height per foot in floor height
- angles not included because assuming angles won't affect blinds</t>
        </r>
      </text>
    </comment>
    <comment ref="C148" authorId="0" shapeId="0" xr:uid="{00000000-0006-0000-0400-000071000000}">
      <text>
        <r>
          <rPr>
            <b/>
            <sz val="9"/>
            <color indexed="81"/>
            <rFont val="Tahoma"/>
            <family val="2"/>
          </rPr>
          <t>Guy:</t>
        </r>
        <r>
          <rPr>
            <sz val="9"/>
            <color indexed="81"/>
            <rFont val="Tahoma"/>
            <family val="2"/>
          </rPr>
          <t xml:space="preserve">
$1600 for signature light fixture, $500 for one light fan, $125 per recessed light, $500 for accent lighting</t>
        </r>
      </text>
    </comment>
    <comment ref="D148" authorId="0" shapeId="0" xr:uid="{00000000-0006-0000-0400-000072000000}">
      <text>
        <r>
          <rPr>
            <b/>
            <sz val="9"/>
            <color indexed="81"/>
            <rFont val="Tahoma"/>
            <family val="2"/>
          </rPr>
          <t>Guy:</t>
        </r>
        <r>
          <rPr>
            <sz val="9"/>
            <color indexed="81"/>
            <rFont val="Tahoma"/>
            <family val="2"/>
          </rPr>
          <t xml:space="preserve">
$2 accounts for extra fan/light at $500, extra accent lighting and more recessed lights</t>
        </r>
      </text>
    </comment>
    <comment ref="C149" authorId="0" shapeId="0" xr:uid="{00000000-0006-0000-0400-000073000000}">
      <text>
        <r>
          <rPr>
            <b/>
            <sz val="9"/>
            <color indexed="81"/>
            <rFont val="Tahoma"/>
            <family val="2"/>
          </rPr>
          <t>Guy:</t>
        </r>
        <r>
          <rPr>
            <sz val="9"/>
            <color indexed="81"/>
            <rFont val="Tahoma"/>
            <family val="2"/>
          </rPr>
          <t xml:space="preserve">
-10000 fireplace installed
- $20 per sqft stone material
- $7 per sqft stone labor
- 8x9*2 foot of stone wall</t>
        </r>
      </text>
    </comment>
    <comment ref="C160" authorId="0" shapeId="0" xr:uid="{00000000-0006-0000-0400-000074000000}">
      <text>
        <r>
          <rPr>
            <b/>
            <sz val="9"/>
            <color indexed="81"/>
            <rFont val="Tahoma"/>
            <family val="2"/>
          </rPr>
          <t>Guy:</t>
        </r>
        <r>
          <rPr>
            <sz val="9"/>
            <color indexed="81"/>
            <rFont val="Tahoma"/>
            <family val="2"/>
          </rPr>
          <t xml:space="preserve">
assumes tiile for small closet size space for washer and dryer regardless of house size</t>
        </r>
      </text>
    </comment>
    <comment ref="G160" authorId="0" shapeId="0" xr:uid="{00000000-0006-0000-0400-000075000000}">
      <text>
        <r>
          <rPr>
            <b/>
            <sz val="9"/>
            <color indexed="81"/>
            <rFont val="Tahoma"/>
            <family val="2"/>
          </rPr>
          <t>Guy:</t>
        </r>
        <r>
          <rPr>
            <sz val="9"/>
            <color indexed="81"/>
            <rFont val="Tahoma"/>
            <family val="2"/>
          </rPr>
          <t xml:space="preserve">
only taiking into account angles for tile installation</t>
        </r>
      </text>
    </comment>
    <comment ref="C165" authorId="0" shapeId="0" xr:uid="{00000000-0006-0000-0400-000076000000}">
      <text>
        <r>
          <rPr>
            <b/>
            <sz val="9"/>
            <color indexed="81"/>
            <rFont val="Tahoma"/>
            <family val="2"/>
          </rPr>
          <t>Guy:</t>
        </r>
        <r>
          <rPr>
            <sz val="9"/>
            <color indexed="81"/>
            <rFont val="Tahoma"/>
            <family val="2"/>
          </rPr>
          <t xml:space="preserve">
-2500 for cabinets
- 400 for installation
</t>
        </r>
      </text>
    </comment>
    <comment ref="D165" authorId="0" shapeId="0" xr:uid="{00000000-0006-0000-0400-000077000000}">
      <text>
        <r>
          <rPr>
            <b/>
            <sz val="9"/>
            <color indexed="81"/>
            <rFont val="Tahoma"/>
            <family val="2"/>
          </rPr>
          <t>Guy:</t>
        </r>
        <r>
          <rPr>
            <sz val="9"/>
            <color indexed="81"/>
            <rFont val="Tahoma"/>
            <family val="2"/>
          </rPr>
          <t xml:space="preserve">
- setting sqft cost to make it so linear feet of cabinet makes sense</t>
        </r>
      </text>
    </comment>
    <comment ref="D166" authorId="0" shapeId="0" xr:uid="{00000000-0006-0000-0400-000078000000}">
      <text>
        <r>
          <rPr>
            <b/>
            <sz val="9"/>
            <color indexed="81"/>
            <rFont val="Tahoma"/>
            <family val="2"/>
          </rPr>
          <t>Guy:</t>
        </r>
        <r>
          <rPr>
            <sz val="9"/>
            <color indexed="81"/>
            <rFont val="Tahoma"/>
            <family val="2"/>
          </rPr>
          <t xml:space="preserve">
- 35 sqft for granite, 6 linear feet, 2 feet deep</t>
        </r>
      </text>
    </comment>
    <comment ref="G166" authorId="0" shapeId="0" xr:uid="{00000000-0006-0000-0400-000079000000}">
      <text>
        <r>
          <rPr>
            <b/>
            <sz val="9"/>
            <color indexed="81"/>
            <rFont val="Tahoma"/>
            <family val="2"/>
          </rPr>
          <t>Guy:</t>
        </r>
        <r>
          <rPr>
            <sz val="9"/>
            <color indexed="81"/>
            <rFont val="Tahoma"/>
            <family val="2"/>
          </rPr>
          <t xml:space="preserve">
ceiling height doesn't affect countetops</t>
        </r>
      </text>
    </comment>
    <comment ref="B167" authorId="0" shapeId="0" xr:uid="{00000000-0006-0000-0400-00007A000000}">
      <text>
        <r>
          <rPr>
            <b/>
            <sz val="9"/>
            <color indexed="81"/>
            <rFont val="Tahoma"/>
            <family val="2"/>
          </rPr>
          <t>Guy:</t>
        </r>
        <r>
          <rPr>
            <sz val="9"/>
            <color indexed="81"/>
            <rFont val="Tahoma"/>
            <family val="2"/>
          </rPr>
          <t xml:space="preserve">
Sink - $100
http://www.moen.com/2200-series/25-x22-stainless-steel-22-gauge-single-bowl-drop-in-sink/_/R-CONSUMER%3AG221984?next=SiteSearch.Image%7CPDP
Faucet - $200
http://www.moen.com/banbury/spot-resist-stainless-one-handle-pullout-kitchen-faucet/_/R-CONSUMER%3A87017SRS?next=SiteSearch.Image%7CPDP</t>
        </r>
      </text>
    </comment>
    <comment ref="D167" authorId="0" shapeId="0" xr:uid="{00000000-0006-0000-0400-00007B000000}">
      <text>
        <r>
          <rPr>
            <b/>
            <sz val="9"/>
            <color indexed="81"/>
            <rFont val="Tahoma"/>
            <family val="2"/>
          </rPr>
          <t>Guy:</t>
        </r>
        <r>
          <rPr>
            <sz val="9"/>
            <color indexed="81"/>
            <rFont val="Tahoma"/>
            <family val="2"/>
          </rPr>
          <t xml:space="preserve">
sqft costs to allow for larger sink</t>
        </r>
      </text>
    </comment>
    <comment ref="G169" authorId="0" shapeId="0" xr:uid="{00000000-0006-0000-0400-00007C000000}">
      <text>
        <r>
          <rPr>
            <b/>
            <sz val="9"/>
            <color indexed="81"/>
            <rFont val="Tahoma"/>
            <family val="2"/>
          </rPr>
          <t>Guy:</t>
        </r>
        <r>
          <rPr>
            <sz val="9"/>
            <color indexed="81"/>
            <rFont val="Tahoma"/>
            <family val="2"/>
          </rPr>
          <t xml:space="preserve">
ceiling height doesn't affect flooring</t>
        </r>
      </text>
    </comment>
    <comment ref="D170" authorId="0" shapeId="0" xr:uid="{00000000-0006-0000-0400-00007D000000}">
      <text>
        <r>
          <rPr>
            <b/>
            <sz val="9"/>
            <color indexed="81"/>
            <rFont val="Tahoma"/>
            <family val="2"/>
          </rPr>
          <t>Guy:</t>
        </r>
        <r>
          <rPr>
            <sz val="9"/>
            <color indexed="81"/>
            <rFont val="Tahoma"/>
            <family val="2"/>
          </rPr>
          <t xml:space="preserve">
allows for more lighting in bigger room</t>
        </r>
      </text>
    </comment>
    <comment ref="C174" authorId="0" shapeId="0" xr:uid="{00000000-0006-0000-0400-00007E000000}">
      <text>
        <r>
          <rPr>
            <b/>
            <sz val="9"/>
            <color indexed="81"/>
            <rFont val="Tahoma"/>
            <family val="2"/>
          </rPr>
          <t>Guy:</t>
        </r>
        <r>
          <rPr>
            <sz val="9"/>
            <color indexed="81"/>
            <rFont val="Tahoma"/>
            <family val="2"/>
          </rPr>
          <t xml:space="preserve">
-10000 for cabinets
- 1000 for installation
</t>
        </r>
      </text>
    </comment>
    <comment ref="D174" authorId="0" shapeId="0" xr:uid="{00000000-0006-0000-0400-00007F000000}">
      <text>
        <r>
          <rPr>
            <b/>
            <sz val="9"/>
            <color indexed="81"/>
            <rFont val="Tahoma"/>
            <family val="2"/>
          </rPr>
          <t>Guy:</t>
        </r>
        <r>
          <rPr>
            <sz val="9"/>
            <color indexed="81"/>
            <rFont val="Tahoma"/>
            <family val="2"/>
          </rPr>
          <t xml:space="preserve">
- setting sqft cost to make it so linear feet of cabinet makes sense</t>
        </r>
      </text>
    </comment>
    <comment ref="C175" authorId="0" shapeId="0" xr:uid="{00000000-0006-0000-0400-000080000000}">
      <text>
        <r>
          <rPr>
            <b/>
            <sz val="9"/>
            <color indexed="81"/>
            <rFont val="Tahoma"/>
            <family val="2"/>
          </rPr>
          <t>Guy:</t>
        </r>
        <r>
          <rPr>
            <sz val="9"/>
            <color indexed="81"/>
            <rFont val="Tahoma"/>
            <family val="2"/>
          </rPr>
          <t xml:space="preserve">
- $50 per sqft
- 10 linear feet by 2 feet deep countertop</t>
        </r>
      </text>
    </comment>
    <comment ref="D175" authorId="0" shapeId="0" xr:uid="{00000000-0006-0000-0400-000081000000}">
      <text>
        <r>
          <rPr>
            <b/>
            <sz val="9"/>
            <color indexed="81"/>
            <rFont val="Tahoma"/>
            <family val="2"/>
          </rPr>
          <t>Guy:</t>
        </r>
        <r>
          <rPr>
            <sz val="9"/>
            <color indexed="81"/>
            <rFont val="Tahoma"/>
            <family val="2"/>
          </rPr>
          <t xml:space="preserve">
- setting sqft cost to make it so linear feet of countertop makes sense</t>
        </r>
      </text>
    </comment>
    <comment ref="B176" authorId="0" shapeId="0" xr:uid="{00000000-0006-0000-0400-00008200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D176" authorId="0" shapeId="0" xr:uid="{00000000-0006-0000-0400-000083000000}">
      <text>
        <r>
          <rPr>
            <b/>
            <sz val="9"/>
            <color indexed="81"/>
            <rFont val="Tahoma"/>
            <family val="2"/>
          </rPr>
          <t>Guy:</t>
        </r>
        <r>
          <rPr>
            <sz val="9"/>
            <color indexed="81"/>
            <rFont val="Tahoma"/>
            <family val="2"/>
          </rPr>
          <t xml:space="preserve">
sqft costs to allow for larger sink</t>
        </r>
      </text>
    </comment>
    <comment ref="C177" authorId="0" shapeId="0" xr:uid="{00000000-0006-0000-0400-000084000000}">
      <text>
        <r>
          <rPr>
            <b/>
            <sz val="9"/>
            <color indexed="81"/>
            <rFont val="Tahoma"/>
            <family val="2"/>
          </rPr>
          <t>Guy:</t>
        </r>
        <r>
          <rPr>
            <sz val="9"/>
            <color indexed="81"/>
            <rFont val="Tahoma"/>
            <family val="2"/>
          </rPr>
          <t xml:space="preserve">
- crown (100 materials, 100 labor)
- tiile backsplash (10 sqft tile, 300 labor) (10-16 sqft of tile)</t>
        </r>
      </text>
    </comment>
    <comment ref="D177" authorId="0" shapeId="0" xr:uid="{00000000-0006-0000-0400-000085000000}">
      <text>
        <r>
          <rPr>
            <b/>
            <sz val="9"/>
            <color indexed="81"/>
            <rFont val="Tahoma"/>
            <family val="2"/>
          </rPr>
          <t>Guy:</t>
        </r>
        <r>
          <rPr>
            <sz val="9"/>
            <color indexed="81"/>
            <rFont val="Tahoma"/>
            <family val="2"/>
          </rPr>
          <t xml:space="preserve">
- multiplier to have cost increase for sqft</t>
        </r>
      </text>
    </comment>
    <comment ref="G178" authorId="0" shapeId="0" xr:uid="{00000000-0006-0000-0400-000087000000}">
      <text>
        <r>
          <rPr>
            <b/>
            <sz val="9"/>
            <color indexed="81"/>
            <rFont val="Tahoma"/>
            <family val="2"/>
          </rPr>
          <t>Guy:</t>
        </r>
        <r>
          <rPr>
            <sz val="9"/>
            <color indexed="81"/>
            <rFont val="Tahoma"/>
            <family val="2"/>
          </rPr>
          <t xml:space="preserve">
ceiling height doesn't affect flooring</t>
        </r>
      </text>
    </comment>
    <comment ref="C179" authorId="0" shapeId="0" xr:uid="{00000000-0006-0000-0400-000088000000}">
      <text>
        <r>
          <rPr>
            <b/>
            <sz val="9"/>
            <color indexed="81"/>
            <rFont val="Tahoma"/>
            <family val="2"/>
          </rPr>
          <t>Guy:</t>
        </r>
        <r>
          <rPr>
            <sz val="9"/>
            <color indexed="81"/>
            <rFont val="Tahoma"/>
            <family val="2"/>
          </rPr>
          <t xml:space="preserve">
assume 6 recessed and $400 for undercabinet</t>
        </r>
      </text>
    </comment>
    <comment ref="D179" authorId="0" shapeId="0" xr:uid="{00000000-0006-0000-0400-000089000000}">
      <text>
        <r>
          <rPr>
            <b/>
            <sz val="9"/>
            <color indexed="81"/>
            <rFont val="Tahoma"/>
            <family val="2"/>
          </rPr>
          <t>Guy:</t>
        </r>
        <r>
          <rPr>
            <sz val="9"/>
            <color indexed="81"/>
            <rFont val="Tahoma"/>
            <family val="2"/>
          </rPr>
          <t xml:space="preserve">
allows for more lighting in bigger room</t>
        </r>
      </text>
    </comment>
    <comment ref="C182" authorId="0" shapeId="0" xr:uid="{00000000-0006-0000-0400-00008A000000}">
      <text>
        <r>
          <rPr>
            <b/>
            <sz val="9"/>
            <color indexed="81"/>
            <rFont val="Tahoma"/>
            <family val="2"/>
          </rPr>
          <t>Guy:</t>
        </r>
        <r>
          <rPr>
            <sz val="9"/>
            <color indexed="81"/>
            <rFont val="Tahoma"/>
            <family val="2"/>
          </rPr>
          <t xml:space="preserve">
$1500 per appliance
$1100 extra for plumbing and electrical</t>
        </r>
      </text>
    </comment>
    <comment ref="C183" authorId="0" shapeId="0" xr:uid="{00000000-0006-0000-0400-00008B000000}">
      <text>
        <r>
          <rPr>
            <b/>
            <sz val="9"/>
            <color indexed="81"/>
            <rFont val="Tahoma"/>
            <family val="2"/>
          </rPr>
          <t>Guy:</t>
        </r>
        <r>
          <rPr>
            <sz val="9"/>
            <color indexed="81"/>
            <rFont val="Tahoma"/>
            <family val="2"/>
          </rPr>
          <t xml:space="preserve">
-15000 for cabinets
- 1500 for installation
</t>
        </r>
      </text>
    </comment>
    <comment ref="D183" authorId="0" shapeId="0" xr:uid="{00000000-0006-0000-0400-00008C000000}">
      <text>
        <r>
          <rPr>
            <b/>
            <sz val="9"/>
            <color indexed="81"/>
            <rFont val="Tahoma"/>
            <family val="2"/>
          </rPr>
          <t>Guy:</t>
        </r>
        <r>
          <rPr>
            <sz val="9"/>
            <color indexed="81"/>
            <rFont val="Tahoma"/>
            <family val="2"/>
          </rPr>
          <t xml:space="preserve">
- setting sqft cost to make it so linear feet of cabinet makes sense</t>
        </r>
      </text>
    </comment>
    <comment ref="C184" authorId="0" shapeId="0" xr:uid="{00000000-0006-0000-0400-00008D000000}">
      <text>
        <r>
          <rPr>
            <b/>
            <sz val="9"/>
            <color indexed="81"/>
            <rFont val="Tahoma"/>
            <family val="2"/>
          </rPr>
          <t>Guy:</t>
        </r>
        <r>
          <rPr>
            <sz val="9"/>
            <color indexed="81"/>
            <rFont val="Tahoma"/>
            <family val="2"/>
          </rPr>
          <t xml:space="preserve">
- $50 per sqft
- 10 linear feet by 2 feet deep countertop</t>
        </r>
      </text>
    </comment>
    <comment ref="D184" authorId="0" shapeId="0" xr:uid="{00000000-0006-0000-0400-00008E000000}">
      <text>
        <r>
          <rPr>
            <b/>
            <sz val="9"/>
            <color indexed="81"/>
            <rFont val="Tahoma"/>
            <family val="2"/>
          </rPr>
          <t>Guy:</t>
        </r>
        <r>
          <rPr>
            <sz val="9"/>
            <color indexed="81"/>
            <rFont val="Tahoma"/>
            <family val="2"/>
          </rPr>
          <t xml:space="preserve">
- setting sqft cost to make it so linear feet of countertop makes sense</t>
        </r>
      </text>
    </comment>
    <comment ref="B185" authorId="0" shapeId="0" xr:uid="{00000000-0006-0000-0400-00008F00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185" authorId="0" shapeId="0" xr:uid="{00000000-0006-0000-0400-000090000000}">
      <text>
        <r>
          <rPr>
            <b/>
            <sz val="9"/>
            <color indexed="81"/>
            <rFont val="Tahoma"/>
            <family val="2"/>
          </rPr>
          <t>Guy:</t>
        </r>
        <r>
          <rPr>
            <sz val="9"/>
            <color indexed="81"/>
            <rFont val="Tahoma"/>
            <family val="2"/>
          </rPr>
          <t xml:space="preserve">
sqft costs to allow for larger sink</t>
        </r>
      </text>
    </comment>
    <comment ref="C186" authorId="0" shapeId="0" xr:uid="{00000000-0006-0000-0400-000091000000}">
      <text>
        <r>
          <rPr>
            <b/>
            <sz val="9"/>
            <color indexed="81"/>
            <rFont val="Tahoma"/>
            <family val="2"/>
          </rPr>
          <t>Guy:</t>
        </r>
        <r>
          <rPr>
            <sz val="9"/>
            <color indexed="81"/>
            <rFont val="Tahoma"/>
            <family val="2"/>
          </rPr>
          <t xml:space="preserve">
- coffered (200 materials, 100 labor)
- tiile half of wall (20 sqft tile, 600 labor) (150-275 sqft of tile)</t>
        </r>
      </text>
    </comment>
    <comment ref="D186" authorId="0" shapeId="0" xr:uid="{00000000-0006-0000-0400-000092000000}">
      <text>
        <r>
          <rPr>
            <b/>
            <sz val="9"/>
            <color indexed="81"/>
            <rFont val="Tahoma"/>
            <family val="2"/>
          </rPr>
          <t>Guy:</t>
        </r>
        <r>
          <rPr>
            <sz val="9"/>
            <color indexed="81"/>
            <rFont val="Tahoma"/>
            <family val="2"/>
          </rPr>
          <t xml:space="preserve">
mutiplier for sqft
</t>
        </r>
      </text>
    </comment>
    <comment ref="G187" authorId="0" shapeId="0" xr:uid="{00000000-0006-0000-0400-000094000000}">
      <text>
        <r>
          <rPr>
            <b/>
            <sz val="9"/>
            <color indexed="81"/>
            <rFont val="Tahoma"/>
            <family val="2"/>
          </rPr>
          <t>Guy:</t>
        </r>
        <r>
          <rPr>
            <sz val="9"/>
            <color indexed="81"/>
            <rFont val="Tahoma"/>
            <family val="2"/>
          </rPr>
          <t xml:space="preserve">
ceiling height doesn't affect flooring</t>
        </r>
      </text>
    </comment>
    <comment ref="C188" authorId="0" shapeId="0" xr:uid="{00000000-0006-0000-0400-000095000000}">
      <text>
        <r>
          <rPr>
            <b/>
            <sz val="9"/>
            <color indexed="81"/>
            <rFont val="Tahoma"/>
            <family val="2"/>
          </rPr>
          <t>Guy:</t>
        </r>
        <r>
          <rPr>
            <sz val="9"/>
            <color indexed="81"/>
            <rFont val="Tahoma"/>
            <family val="2"/>
          </rPr>
          <t xml:space="preserve">
assume 6 recessed for $125 a piece, and $400 for undercabinet</t>
        </r>
      </text>
    </comment>
    <comment ref="D188" authorId="0" shapeId="0" xr:uid="{00000000-0006-0000-0400-000096000000}">
      <text>
        <r>
          <rPr>
            <b/>
            <sz val="9"/>
            <color indexed="81"/>
            <rFont val="Tahoma"/>
            <family val="2"/>
          </rPr>
          <t>Guy:</t>
        </r>
        <r>
          <rPr>
            <sz val="9"/>
            <color indexed="81"/>
            <rFont val="Tahoma"/>
            <family val="2"/>
          </rPr>
          <t xml:space="preserve">
allows for more lighting in bigger room</t>
        </r>
      </text>
    </comment>
    <comment ref="C199" authorId="0" shapeId="0" xr:uid="{00000000-0006-0000-0400-000097000000}">
      <text>
        <r>
          <rPr>
            <b/>
            <sz val="9"/>
            <color indexed="81"/>
            <rFont val="Tahoma"/>
            <family val="2"/>
          </rPr>
          <t>Guy:</t>
        </r>
        <r>
          <rPr>
            <sz val="9"/>
            <color indexed="81"/>
            <rFont val="Tahoma"/>
            <family val="2"/>
          </rPr>
          <t xml:space="preserve">
assumes tiile for small closet size space for washer and dryer regardless of house size</t>
        </r>
      </text>
    </comment>
    <comment ref="G199" authorId="0" shapeId="0" xr:uid="{00000000-0006-0000-0400-000098000000}">
      <text>
        <r>
          <rPr>
            <b/>
            <sz val="9"/>
            <color indexed="81"/>
            <rFont val="Tahoma"/>
            <family val="2"/>
          </rPr>
          <t>Guy:</t>
        </r>
        <r>
          <rPr>
            <sz val="9"/>
            <color indexed="81"/>
            <rFont val="Tahoma"/>
            <family val="2"/>
          </rPr>
          <t xml:space="preserve">
only taiking into account angles for tile installation</t>
        </r>
      </text>
    </comment>
    <comment ref="C204" authorId="0" shapeId="0" xr:uid="{00000000-0006-0000-0400-000099000000}">
      <text>
        <r>
          <rPr>
            <b/>
            <sz val="9"/>
            <color indexed="81"/>
            <rFont val="Tahoma"/>
            <family val="2"/>
          </rPr>
          <t>Guy:</t>
        </r>
        <r>
          <rPr>
            <sz val="9"/>
            <color indexed="81"/>
            <rFont val="Tahoma"/>
            <family val="2"/>
          </rPr>
          <t xml:space="preserve">
-1500 for cabinets
- 400 for installation
</t>
        </r>
      </text>
    </comment>
    <comment ref="D204" authorId="0" shapeId="0" xr:uid="{00000000-0006-0000-0400-00009A000000}">
      <text>
        <r>
          <rPr>
            <b/>
            <sz val="9"/>
            <color indexed="81"/>
            <rFont val="Tahoma"/>
            <family val="2"/>
          </rPr>
          <t>Guy:</t>
        </r>
        <r>
          <rPr>
            <sz val="9"/>
            <color indexed="81"/>
            <rFont val="Tahoma"/>
            <family val="2"/>
          </rPr>
          <t xml:space="preserve">
- setting sqft cost to make it so linear feet of cabinet makes sense</t>
        </r>
      </text>
    </comment>
    <comment ref="D205" authorId="0" shapeId="0" xr:uid="{00000000-0006-0000-0400-00009B000000}">
      <text>
        <r>
          <rPr>
            <b/>
            <sz val="9"/>
            <color indexed="81"/>
            <rFont val="Tahoma"/>
            <family val="2"/>
          </rPr>
          <t>Guy:</t>
        </r>
        <r>
          <rPr>
            <sz val="9"/>
            <color indexed="81"/>
            <rFont val="Tahoma"/>
            <family val="2"/>
          </rPr>
          <t xml:space="preserve">
- 35 sqft for granite, 6 linear feet, 2 feet deep</t>
        </r>
      </text>
    </comment>
    <comment ref="G205" authorId="0" shapeId="0" xr:uid="{00000000-0006-0000-0400-00009C000000}">
      <text>
        <r>
          <rPr>
            <b/>
            <sz val="9"/>
            <color indexed="81"/>
            <rFont val="Tahoma"/>
            <family val="2"/>
          </rPr>
          <t>Guy:</t>
        </r>
        <r>
          <rPr>
            <sz val="9"/>
            <color indexed="81"/>
            <rFont val="Tahoma"/>
            <family val="2"/>
          </rPr>
          <t xml:space="preserve">
ceiling height doesn't affect countetops</t>
        </r>
      </text>
    </comment>
    <comment ref="B206" authorId="0" shapeId="0" xr:uid="{00000000-0006-0000-0400-00009D000000}">
      <text>
        <r>
          <rPr>
            <b/>
            <sz val="9"/>
            <color indexed="81"/>
            <rFont val="Tahoma"/>
            <family val="2"/>
          </rPr>
          <t>Guy:</t>
        </r>
        <r>
          <rPr>
            <sz val="9"/>
            <color indexed="81"/>
            <rFont val="Tahoma"/>
            <family val="2"/>
          </rPr>
          <t xml:space="preserve">
Sink - $100
http://www.moen.com/2200-series/25-x22-stainless-steel-22-gauge-single-bowl-drop-in-sink/_/R-CONSUMER%3AG221984?next=SiteSearch.Image%7CPDP
Faucet - $200
http://www.moen.com/banbury/spot-resist-stainless-one-handle-pullout-kitchen-faucet/_/R-CONSUMER%3A87017SRS?next=SiteSearch.Image%7CPDP</t>
        </r>
      </text>
    </comment>
    <comment ref="D206" authorId="0" shapeId="0" xr:uid="{00000000-0006-0000-0400-00009E000000}">
      <text>
        <r>
          <rPr>
            <b/>
            <sz val="9"/>
            <color indexed="81"/>
            <rFont val="Tahoma"/>
            <family val="2"/>
          </rPr>
          <t>Guy:</t>
        </r>
        <r>
          <rPr>
            <sz val="9"/>
            <color indexed="81"/>
            <rFont val="Tahoma"/>
            <family val="2"/>
          </rPr>
          <t xml:space="preserve">
sqft costs to allow for larger sink</t>
        </r>
      </text>
    </comment>
    <comment ref="G208" authorId="0" shapeId="0" xr:uid="{00000000-0006-0000-0400-00009F000000}">
      <text>
        <r>
          <rPr>
            <b/>
            <sz val="9"/>
            <color indexed="81"/>
            <rFont val="Tahoma"/>
            <family val="2"/>
          </rPr>
          <t>Guy:</t>
        </r>
        <r>
          <rPr>
            <sz val="9"/>
            <color indexed="81"/>
            <rFont val="Tahoma"/>
            <family val="2"/>
          </rPr>
          <t xml:space="preserve">
ceiling height doesn't affect flooring</t>
        </r>
      </text>
    </comment>
    <comment ref="D209" authorId="0" shapeId="0" xr:uid="{00000000-0006-0000-0400-0000A0000000}">
      <text>
        <r>
          <rPr>
            <b/>
            <sz val="9"/>
            <color indexed="81"/>
            <rFont val="Tahoma"/>
            <family val="2"/>
          </rPr>
          <t>Guy:</t>
        </r>
        <r>
          <rPr>
            <sz val="9"/>
            <color indexed="81"/>
            <rFont val="Tahoma"/>
            <family val="2"/>
          </rPr>
          <t xml:space="preserve">
allows for more lighting in bigger room</t>
        </r>
      </text>
    </comment>
    <comment ref="C213" authorId="0" shapeId="0" xr:uid="{00000000-0006-0000-0400-0000A1000000}">
      <text>
        <r>
          <rPr>
            <b/>
            <sz val="9"/>
            <color indexed="81"/>
            <rFont val="Tahoma"/>
            <family val="2"/>
          </rPr>
          <t>Guy:</t>
        </r>
        <r>
          <rPr>
            <sz val="9"/>
            <color indexed="81"/>
            <rFont val="Tahoma"/>
            <family val="2"/>
          </rPr>
          <t xml:space="preserve">
-5000 for cabinets
- 1000 for installation
</t>
        </r>
      </text>
    </comment>
    <comment ref="D213" authorId="0" shapeId="0" xr:uid="{00000000-0006-0000-0400-0000A2000000}">
      <text>
        <r>
          <rPr>
            <b/>
            <sz val="9"/>
            <color indexed="81"/>
            <rFont val="Tahoma"/>
            <family val="2"/>
          </rPr>
          <t>Guy:</t>
        </r>
        <r>
          <rPr>
            <sz val="9"/>
            <color indexed="81"/>
            <rFont val="Tahoma"/>
            <family val="2"/>
          </rPr>
          <t xml:space="preserve">
- setting sqft cost to make it so linear feet of cabinet makes sense</t>
        </r>
      </text>
    </comment>
    <comment ref="C214" authorId="0" shapeId="0" xr:uid="{00000000-0006-0000-0400-0000A3000000}">
      <text>
        <r>
          <rPr>
            <b/>
            <sz val="9"/>
            <color indexed="81"/>
            <rFont val="Tahoma"/>
            <family val="2"/>
          </rPr>
          <t>Guy:</t>
        </r>
        <r>
          <rPr>
            <sz val="9"/>
            <color indexed="81"/>
            <rFont val="Tahoma"/>
            <family val="2"/>
          </rPr>
          <t xml:space="preserve">
- $50 per sqft
- 10 linear feet by 2 feet deep countertop</t>
        </r>
      </text>
    </comment>
    <comment ref="D214" authorId="0" shapeId="0" xr:uid="{00000000-0006-0000-0400-0000A4000000}">
      <text>
        <r>
          <rPr>
            <b/>
            <sz val="9"/>
            <color indexed="81"/>
            <rFont val="Tahoma"/>
            <family val="2"/>
          </rPr>
          <t>Guy:</t>
        </r>
        <r>
          <rPr>
            <sz val="9"/>
            <color indexed="81"/>
            <rFont val="Tahoma"/>
            <family val="2"/>
          </rPr>
          <t xml:space="preserve">
- setting sqft cost to make it so linear feet of countertop makes sense</t>
        </r>
      </text>
    </comment>
    <comment ref="B215" authorId="0" shapeId="0" xr:uid="{00000000-0006-0000-0400-0000A500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D215" authorId="0" shapeId="0" xr:uid="{00000000-0006-0000-0400-0000A6000000}">
      <text>
        <r>
          <rPr>
            <b/>
            <sz val="9"/>
            <color indexed="81"/>
            <rFont val="Tahoma"/>
            <family val="2"/>
          </rPr>
          <t>Guy:</t>
        </r>
        <r>
          <rPr>
            <sz val="9"/>
            <color indexed="81"/>
            <rFont val="Tahoma"/>
            <family val="2"/>
          </rPr>
          <t xml:space="preserve">
sqft costs to allow for larger sink</t>
        </r>
      </text>
    </comment>
    <comment ref="C216" authorId="0" shapeId="0" xr:uid="{00000000-0006-0000-0400-0000A7000000}">
      <text>
        <r>
          <rPr>
            <b/>
            <sz val="9"/>
            <color indexed="81"/>
            <rFont val="Tahoma"/>
            <family val="2"/>
          </rPr>
          <t>Guy:</t>
        </r>
        <r>
          <rPr>
            <sz val="9"/>
            <color indexed="81"/>
            <rFont val="Tahoma"/>
            <family val="2"/>
          </rPr>
          <t xml:space="preserve">
- crown (100 materials, 100 labor)
- tiile backsplash (10 sqft tile, 300 labor) (10-16 sqft of tile)</t>
        </r>
      </text>
    </comment>
    <comment ref="D216" authorId="0" shapeId="0" xr:uid="{00000000-0006-0000-0400-0000A8000000}">
      <text>
        <r>
          <rPr>
            <b/>
            <sz val="9"/>
            <color indexed="81"/>
            <rFont val="Tahoma"/>
            <family val="2"/>
          </rPr>
          <t>Guy:</t>
        </r>
        <r>
          <rPr>
            <sz val="9"/>
            <color indexed="81"/>
            <rFont val="Tahoma"/>
            <family val="2"/>
          </rPr>
          <t xml:space="preserve">
- multplier for sqft
</t>
        </r>
      </text>
    </comment>
    <comment ref="G217" authorId="0" shapeId="0" xr:uid="{00000000-0006-0000-0400-0000AA000000}">
      <text>
        <r>
          <rPr>
            <b/>
            <sz val="9"/>
            <color indexed="81"/>
            <rFont val="Tahoma"/>
            <family val="2"/>
          </rPr>
          <t>Guy:</t>
        </r>
        <r>
          <rPr>
            <sz val="9"/>
            <color indexed="81"/>
            <rFont val="Tahoma"/>
            <family val="2"/>
          </rPr>
          <t xml:space="preserve">
ceiling height doesn't affect flooring</t>
        </r>
      </text>
    </comment>
    <comment ref="C218" authorId="0" shapeId="0" xr:uid="{00000000-0006-0000-0400-0000AB000000}">
      <text>
        <r>
          <rPr>
            <b/>
            <sz val="9"/>
            <color indexed="81"/>
            <rFont val="Tahoma"/>
            <family val="2"/>
          </rPr>
          <t>Guy:</t>
        </r>
        <r>
          <rPr>
            <sz val="9"/>
            <color indexed="81"/>
            <rFont val="Tahoma"/>
            <family val="2"/>
          </rPr>
          <t xml:space="preserve">
assume 6 recessed and $400 for undercabinet</t>
        </r>
      </text>
    </comment>
    <comment ref="D218" authorId="0" shapeId="0" xr:uid="{00000000-0006-0000-0400-0000AC000000}">
      <text>
        <r>
          <rPr>
            <b/>
            <sz val="9"/>
            <color indexed="81"/>
            <rFont val="Tahoma"/>
            <family val="2"/>
          </rPr>
          <t>Guy:</t>
        </r>
        <r>
          <rPr>
            <sz val="9"/>
            <color indexed="81"/>
            <rFont val="Tahoma"/>
            <family val="2"/>
          </rPr>
          <t xml:space="preserve">
allows for more lighting in bigger room</t>
        </r>
      </text>
    </comment>
    <comment ref="C221" authorId="0" shapeId="0" xr:uid="{00000000-0006-0000-0400-0000AD000000}">
      <text>
        <r>
          <rPr>
            <b/>
            <sz val="9"/>
            <color indexed="81"/>
            <rFont val="Tahoma"/>
            <family val="2"/>
          </rPr>
          <t>Guy:</t>
        </r>
        <r>
          <rPr>
            <sz val="9"/>
            <color indexed="81"/>
            <rFont val="Tahoma"/>
            <family val="2"/>
          </rPr>
          <t xml:space="preserve">
$1500 per appliance
$800 extra for plumbing and electrical</t>
        </r>
      </text>
    </comment>
    <comment ref="C222" authorId="0" shapeId="0" xr:uid="{00000000-0006-0000-0400-0000AE000000}">
      <text>
        <r>
          <rPr>
            <b/>
            <sz val="9"/>
            <color indexed="81"/>
            <rFont val="Tahoma"/>
            <family val="2"/>
          </rPr>
          <t>Guy:</t>
        </r>
        <r>
          <rPr>
            <sz val="9"/>
            <color indexed="81"/>
            <rFont val="Tahoma"/>
            <family val="2"/>
          </rPr>
          <t xml:space="preserve">
-10000 for cabinets
- 1500 for installation
</t>
        </r>
      </text>
    </comment>
    <comment ref="D222" authorId="0" shapeId="0" xr:uid="{00000000-0006-0000-0400-0000AF000000}">
      <text>
        <r>
          <rPr>
            <b/>
            <sz val="9"/>
            <color indexed="81"/>
            <rFont val="Tahoma"/>
            <family val="2"/>
          </rPr>
          <t>Guy:</t>
        </r>
        <r>
          <rPr>
            <sz val="9"/>
            <color indexed="81"/>
            <rFont val="Tahoma"/>
            <family val="2"/>
          </rPr>
          <t xml:space="preserve">
- setting sqft cost to make it so linear feet of cabinet makes sense</t>
        </r>
      </text>
    </comment>
    <comment ref="C223" authorId="0" shapeId="0" xr:uid="{00000000-0006-0000-0400-0000B0000000}">
      <text>
        <r>
          <rPr>
            <b/>
            <sz val="9"/>
            <color indexed="81"/>
            <rFont val="Tahoma"/>
            <family val="2"/>
          </rPr>
          <t>Guy:</t>
        </r>
        <r>
          <rPr>
            <sz val="9"/>
            <color indexed="81"/>
            <rFont val="Tahoma"/>
            <family val="2"/>
          </rPr>
          <t xml:space="preserve">
- $50 per sqft
- 10 linear feet by 2 feet deep countertop</t>
        </r>
      </text>
    </comment>
    <comment ref="D223" authorId="0" shapeId="0" xr:uid="{00000000-0006-0000-0400-0000B1000000}">
      <text>
        <r>
          <rPr>
            <b/>
            <sz val="9"/>
            <color indexed="81"/>
            <rFont val="Tahoma"/>
            <family val="2"/>
          </rPr>
          <t>Guy:</t>
        </r>
        <r>
          <rPr>
            <sz val="9"/>
            <color indexed="81"/>
            <rFont val="Tahoma"/>
            <family val="2"/>
          </rPr>
          <t xml:space="preserve">
- setting sqft cost to make it so linear feet of countertop makes sense</t>
        </r>
      </text>
    </comment>
    <comment ref="B224" authorId="0" shapeId="0" xr:uid="{00000000-0006-0000-0400-0000B200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224" authorId="0" shapeId="0" xr:uid="{00000000-0006-0000-0400-0000B3000000}">
      <text>
        <r>
          <rPr>
            <b/>
            <sz val="9"/>
            <color indexed="81"/>
            <rFont val="Tahoma"/>
            <family val="2"/>
          </rPr>
          <t>Guy:</t>
        </r>
        <r>
          <rPr>
            <sz val="9"/>
            <color indexed="81"/>
            <rFont val="Tahoma"/>
            <family val="2"/>
          </rPr>
          <t xml:space="preserve">
sqft costs to allow for larger sink</t>
        </r>
      </text>
    </comment>
    <comment ref="C225" authorId="0" shapeId="0" xr:uid="{00000000-0006-0000-0400-0000B4000000}">
      <text>
        <r>
          <rPr>
            <b/>
            <sz val="9"/>
            <color indexed="81"/>
            <rFont val="Tahoma"/>
            <family val="2"/>
          </rPr>
          <t>Guy:</t>
        </r>
        <r>
          <rPr>
            <sz val="9"/>
            <color indexed="81"/>
            <rFont val="Tahoma"/>
            <family val="2"/>
          </rPr>
          <t xml:space="preserve">
- coffered (200 materials, 100 labor)
- tiile half of wall (20 sqft tile, 600 labor) (150-275 sqft of tile)</t>
        </r>
      </text>
    </comment>
    <comment ref="D225" authorId="0" shapeId="0" xr:uid="{00000000-0006-0000-0400-0000B5000000}">
      <text>
        <r>
          <rPr>
            <b/>
            <sz val="9"/>
            <color indexed="81"/>
            <rFont val="Tahoma"/>
            <family val="2"/>
          </rPr>
          <t>Guy:</t>
        </r>
        <r>
          <rPr>
            <sz val="9"/>
            <color indexed="81"/>
            <rFont val="Tahoma"/>
            <family val="2"/>
          </rPr>
          <t xml:space="preserve">
- multiplier for sqft
</t>
        </r>
      </text>
    </comment>
    <comment ref="G226" authorId="0" shapeId="0" xr:uid="{00000000-0006-0000-0400-0000B7000000}">
      <text>
        <r>
          <rPr>
            <b/>
            <sz val="9"/>
            <color indexed="81"/>
            <rFont val="Tahoma"/>
            <family val="2"/>
          </rPr>
          <t>Guy:</t>
        </r>
        <r>
          <rPr>
            <sz val="9"/>
            <color indexed="81"/>
            <rFont val="Tahoma"/>
            <family val="2"/>
          </rPr>
          <t xml:space="preserve">
ceiling height doesn't affect flooring</t>
        </r>
      </text>
    </comment>
    <comment ref="C227" authorId="0" shapeId="0" xr:uid="{00000000-0006-0000-0400-0000B8000000}">
      <text>
        <r>
          <rPr>
            <b/>
            <sz val="9"/>
            <color indexed="81"/>
            <rFont val="Tahoma"/>
            <family val="2"/>
          </rPr>
          <t>Guy:</t>
        </r>
        <r>
          <rPr>
            <sz val="9"/>
            <color indexed="81"/>
            <rFont val="Tahoma"/>
            <family val="2"/>
          </rPr>
          <t xml:space="preserve">
assume 6 recessed for $125 a piece, and $400 for undercabinet</t>
        </r>
      </text>
    </comment>
    <comment ref="D227" authorId="0" shapeId="0" xr:uid="{00000000-0006-0000-0400-0000B9000000}">
      <text>
        <r>
          <rPr>
            <b/>
            <sz val="9"/>
            <color indexed="81"/>
            <rFont val="Tahoma"/>
            <family val="2"/>
          </rPr>
          <t>Guy:</t>
        </r>
        <r>
          <rPr>
            <sz val="9"/>
            <color indexed="81"/>
            <rFont val="Tahoma"/>
            <family val="2"/>
          </rPr>
          <t xml:space="preserve">
allows for more lighting in bigger room</t>
        </r>
      </text>
    </comment>
    <comment ref="D233" authorId="0" shapeId="0" xr:uid="{00000000-0006-0000-0400-0000BA000000}">
      <text>
        <r>
          <rPr>
            <b/>
            <sz val="9"/>
            <color indexed="81"/>
            <rFont val="Tahoma"/>
            <family val="2"/>
          </rPr>
          <t>Guy:</t>
        </r>
        <r>
          <rPr>
            <sz val="9"/>
            <color indexed="81"/>
            <rFont val="Tahoma"/>
            <family val="2"/>
          </rPr>
          <t xml:space="preserve">
</t>
        </r>
      </text>
    </comment>
    <comment ref="G233" authorId="0" shapeId="0" xr:uid="{00000000-0006-0000-0400-0000BB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J237" authorId="0" shapeId="0" xr:uid="{00000000-0006-0000-0400-0000BC000000}">
      <text>
        <r>
          <rPr>
            <b/>
            <sz val="9"/>
            <color indexed="81"/>
            <rFont val="Tahoma"/>
            <family val="2"/>
          </rPr>
          <t>Guy:</t>
        </r>
        <r>
          <rPr>
            <sz val="9"/>
            <color indexed="81"/>
            <rFont val="Tahoma"/>
            <family val="2"/>
          </rPr>
          <t xml:space="preserve">
- assume chandilier has two bulbs</t>
        </r>
      </text>
    </comment>
    <comment ref="D239" authorId="0" shapeId="0" xr:uid="{00000000-0006-0000-0400-0000BD000000}">
      <text>
        <r>
          <rPr>
            <b/>
            <sz val="9"/>
            <color indexed="81"/>
            <rFont val="Tahoma"/>
            <family val="2"/>
          </rPr>
          <t>Guy:</t>
        </r>
        <r>
          <rPr>
            <sz val="9"/>
            <color indexed="81"/>
            <rFont val="Tahoma"/>
            <family val="2"/>
          </rPr>
          <t xml:space="preserve">
-nothing for paint
- $5 for trim and shelving</t>
        </r>
      </text>
    </comment>
    <comment ref="G239" authorId="0" shapeId="0" xr:uid="{00000000-0006-0000-0400-0000BE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40" authorId="0" shapeId="0" xr:uid="{00000000-0006-0000-0400-0000BF000000}">
      <text>
        <r>
          <rPr>
            <b/>
            <sz val="9"/>
            <color indexed="81"/>
            <rFont val="Tahoma"/>
            <family val="2"/>
          </rPr>
          <t>Guy:</t>
        </r>
        <r>
          <rPr>
            <sz val="9"/>
            <color indexed="81"/>
            <rFont val="Tahoma"/>
            <family val="2"/>
          </rPr>
          <t xml:space="preserve">
nothing for paint, $1.5 a sqft for crown</t>
        </r>
      </text>
    </comment>
    <comment ref="C241" authorId="0" shapeId="0" xr:uid="{00000000-0006-0000-0400-0000C0000000}">
      <text>
        <r>
          <rPr>
            <b/>
            <sz val="9"/>
            <color indexed="81"/>
            <rFont val="Tahoma"/>
            <family val="2"/>
          </rPr>
          <t>Guy:</t>
        </r>
        <r>
          <rPr>
            <sz val="9"/>
            <color indexed="81"/>
            <rFont val="Tahoma"/>
            <family val="2"/>
          </rPr>
          <t xml:space="preserve">
$800 for signature light fixture, $125 per recessed light</t>
        </r>
      </text>
    </comment>
    <comment ref="D241" authorId="0" shapeId="0" xr:uid="{00000000-0006-0000-0400-0000C100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D245" authorId="0" shapeId="0" xr:uid="{00000000-0006-0000-0400-0000C2000000}">
      <text>
        <r>
          <rPr>
            <b/>
            <sz val="9"/>
            <color indexed="81"/>
            <rFont val="Tahoma"/>
            <family val="2"/>
          </rPr>
          <t>Guy:</t>
        </r>
        <r>
          <rPr>
            <sz val="9"/>
            <color indexed="81"/>
            <rFont val="Tahoma"/>
            <family val="2"/>
          </rPr>
          <t xml:space="preserve">
$4 sqft for wainscoating (includes extra paint labor)
$11 sqft for feature wall (assume 126 sqft of wall for 154 sqft room, so multiply 11 times 126/154 to get price per sqft of room, which is 9)
</t>
        </r>
      </text>
    </comment>
    <comment ref="D246" authorId="0" shapeId="0" xr:uid="{00000000-0006-0000-0400-0000C3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247" authorId="0" shapeId="0" xr:uid="{00000000-0006-0000-0400-0000C4000000}">
      <text>
        <r>
          <rPr>
            <b/>
            <sz val="9"/>
            <color indexed="81"/>
            <rFont val="Tahoma"/>
            <family val="2"/>
          </rPr>
          <t>Guy:</t>
        </r>
        <r>
          <rPr>
            <sz val="9"/>
            <color indexed="81"/>
            <rFont val="Tahoma"/>
            <family val="2"/>
          </rPr>
          <t xml:space="preserve">
$800 for signature light fixture, $125 per recessed light</t>
        </r>
      </text>
    </comment>
    <comment ref="D247" authorId="0" shapeId="0" xr:uid="{00000000-0006-0000-0400-0000C500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C248" authorId="0" shapeId="0" xr:uid="{00000000-0006-0000-0400-0000C6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D251" authorId="0" shapeId="0" xr:uid="{00000000-0006-0000-0400-0000C7000000}">
      <text>
        <r>
          <rPr>
            <b/>
            <sz val="9"/>
            <color indexed="81"/>
            <rFont val="Tahoma"/>
            <family val="2"/>
          </rPr>
          <t>Guy:</t>
        </r>
        <r>
          <rPr>
            <sz val="9"/>
            <color indexed="81"/>
            <rFont val="Tahoma"/>
            <family val="2"/>
          </rPr>
          <t xml:space="preserve">
$6 sqft for wainscoating (includes extra paint labor)
$25 sqft for feature wall (assume 126 sqft for 154 sqft room, so multiply 25 times 126/154 to get price per sqft of room, which is 20.4)</t>
        </r>
      </text>
    </comment>
    <comment ref="D252" authorId="0" shapeId="0" xr:uid="{00000000-0006-0000-0400-0000C8000000}">
      <text>
        <r>
          <rPr>
            <b/>
            <sz val="9"/>
            <color indexed="81"/>
            <rFont val="Tahoma"/>
            <family val="2"/>
          </rPr>
          <t>Guy:</t>
        </r>
        <r>
          <rPr>
            <sz val="9"/>
            <color indexed="81"/>
            <rFont val="Tahoma"/>
            <family val="2"/>
          </rPr>
          <t xml:space="preserve">
$5 labor (install, sand/poly)
$3 materials</t>
        </r>
      </text>
    </comment>
    <comment ref="C253" authorId="0" shapeId="0" xr:uid="{00000000-0006-0000-0400-0000C9000000}">
      <text>
        <r>
          <rPr>
            <b/>
            <sz val="9"/>
            <color indexed="81"/>
            <rFont val="Tahoma"/>
            <family val="2"/>
          </rPr>
          <t>Guy:</t>
        </r>
        <r>
          <rPr>
            <sz val="9"/>
            <color indexed="81"/>
            <rFont val="Tahoma"/>
            <family val="2"/>
          </rPr>
          <t xml:space="preserve">
$3000 for signature light fixture, $125 per recessed light, $500 for accent lighting</t>
        </r>
      </text>
    </comment>
    <comment ref="D253" authorId="0" shapeId="0" xr:uid="{00000000-0006-0000-0400-0000CA000000}">
      <text>
        <r>
          <rPr>
            <b/>
            <sz val="9"/>
            <color indexed="81"/>
            <rFont val="Tahoma"/>
            <family val="2"/>
          </rPr>
          <t>Guy:</t>
        </r>
        <r>
          <rPr>
            <sz val="9"/>
            <color indexed="81"/>
            <rFont val="Tahoma"/>
            <family val="2"/>
          </rPr>
          <t xml:space="preserve">
$2 accounts for extra accent lighting and more recessed lights</t>
        </r>
      </text>
    </comment>
    <comment ref="C254" authorId="0" shapeId="0" xr:uid="{00000000-0006-0000-0400-0000CB000000}">
      <text>
        <r>
          <rPr>
            <b/>
            <sz val="9"/>
            <color indexed="81"/>
            <rFont val="Tahoma"/>
            <family val="2"/>
          </rPr>
          <t>Guy:</t>
        </r>
        <r>
          <rPr>
            <sz val="9"/>
            <color indexed="81"/>
            <rFont val="Tahoma"/>
            <family val="2"/>
          </rPr>
          <t xml:space="preserve">
-10000 fireplace installed
- $20 per sqft stone material
- $8 per sqft stone labor
- 6x9 foot of stone wall</t>
        </r>
      </text>
    </comment>
    <comment ref="B258" authorId="1" shapeId="0" xr:uid="{00000000-0006-0000-0400-0000CC000000}">
      <text>
        <r>
          <rPr>
            <b/>
            <sz val="9"/>
            <color indexed="81"/>
            <rFont val="Tahoma"/>
            <family val="2"/>
          </rPr>
          <t>1186341526V:</t>
        </r>
        <r>
          <rPr>
            <sz val="9"/>
            <color indexed="81"/>
            <rFont val="Tahoma"/>
            <family val="2"/>
          </rPr>
          <t xml:space="preserve">
assume sqft of main living area is broken up into main plus additional family/living</t>
        </r>
      </text>
    </comment>
    <comment ref="G260" authorId="0" shapeId="0" xr:uid="{00000000-0006-0000-0400-0000CD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63" authorId="0" shapeId="0" xr:uid="{00000000-0006-0000-0400-0000CE000000}">
      <text>
        <r>
          <rPr>
            <b/>
            <sz val="9"/>
            <color indexed="81"/>
            <rFont val="Tahoma"/>
            <family val="2"/>
          </rPr>
          <t>Guy:</t>
        </r>
        <r>
          <rPr>
            <sz val="9"/>
            <color indexed="81"/>
            <rFont val="Tahoma"/>
            <family val="2"/>
          </rPr>
          <t xml:space="preserve">
- $5 sqft materials
- $2.5 labor</t>
        </r>
      </text>
    </comment>
    <comment ref="G263" authorId="0" shapeId="0" xr:uid="{00000000-0006-0000-0400-0000CF000000}">
      <text>
        <r>
          <rPr>
            <b/>
            <sz val="9"/>
            <color indexed="81"/>
            <rFont val="Tahoma"/>
            <family val="2"/>
          </rPr>
          <t>Guy:</t>
        </r>
        <r>
          <rPr>
            <sz val="9"/>
            <color indexed="81"/>
            <rFont val="Tahoma"/>
            <family val="2"/>
          </rPr>
          <t xml:space="preserve">
ceiling height doesn't affect flooring</t>
        </r>
      </text>
    </comment>
    <comment ref="J266" authorId="0" shapeId="0" xr:uid="{00000000-0006-0000-0400-0000D0000000}">
      <text>
        <r>
          <rPr>
            <b/>
            <sz val="9"/>
            <color indexed="81"/>
            <rFont val="Tahoma"/>
            <family val="2"/>
          </rPr>
          <t>Guy:</t>
        </r>
        <r>
          <rPr>
            <sz val="9"/>
            <color indexed="81"/>
            <rFont val="Tahoma"/>
            <family val="2"/>
          </rPr>
          <t xml:space="preserve">
- assume fan/light has two bulbs</t>
        </r>
      </text>
    </comment>
    <comment ref="C267" authorId="0" shapeId="0" xr:uid="{00000000-0006-0000-0400-0000D1000000}">
      <text>
        <r>
          <rPr>
            <b/>
            <sz val="9"/>
            <color indexed="81"/>
            <rFont val="Tahoma"/>
            <family val="2"/>
          </rPr>
          <t>Guy:</t>
        </r>
        <r>
          <rPr>
            <sz val="9"/>
            <color indexed="81"/>
            <rFont val="Tahoma"/>
            <family val="2"/>
          </rPr>
          <t xml:space="preserve">
$50 for custom paint</t>
        </r>
      </text>
    </comment>
    <comment ref="D267" authorId="0" shapeId="0" xr:uid="{00000000-0006-0000-0400-0000D2000000}">
      <text>
        <r>
          <rPr>
            <b/>
            <sz val="9"/>
            <color indexed="81"/>
            <rFont val="Tahoma"/>
            <family val="2"/>
          </rPr>
          <t>Guy:</t>
        </r>
        <r>
          <rPr>
            <sz val="9"/>
            <color indexed="81"/>
            <rFont val="Tahoma"/>
            <family val="2"/>
          </rPr>
          <t xml:space="preserve">
-nothing for paint
- $1 a sqft for chair rail</t>
        </r>
      </text>
    </comment>
    <comment ref="G267" authorId="0" shapeId="0" xr:uid="{00000000-0006-0000-0400-0000D3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68" authorId="0" shapeId="0" xr:uid="{00000000-0006-0000-0400-0000D4000000}">
      <text>
        <r>
          <rPr>
            <b/>
            <sz val="9"/>
            <color indexed="81"/>
            <rFont val="Tahoma"/>
            <family val="2"/>
          </rPr>
          <t>Guy:</t>
        </r>
        <r>
          <rPr>
            <sz val="9"/>
            <color indexed="81"/>
            <rFont val="Tahoma"/>
            <family val="2"/>
          </rPr>
          <t xml:space="preserve">
nothing for paint, $1.5 a sqft for crown</t>
        </r>
      </text>
    </comment>
    <comment ref="D270" authorId="0" shapeId="0" xr:uid="{00000000-0006-0000-0400-0000D5000000}">
      <text>
        <r>
          <rPr>
            <b/>
            <sz val="9"/>
            <color indexed="81"/>
            <rFont val="Tahoma"/>
            <family val="2"/>
          </rPr>
          <t>Guy:</t>
        </r>
        <r>
          <rPr>
            <sz val="9"/>
            <color indexed="81"/>
            <rFont val="Tahoma"/>
            <family val="2"/>
          </rPr>
          <t xml:space="preserve">
- $4 sqft materials
- $4.5 labor</t>
        </r>
      </text>
    </comment>
    <comment ref="G270" authorId="0" shapeId="0" xr:uid="{00000000-0006-0000-0400-0000D6000000}">
      <text>
        <r>
          <rPr>
            <b/>
            <sz val="9"/>
            <color indexed="81"/>
            <rFont val="Tahoma"/>
            <family val="2"/>
          </rPr>
          <t>Guy:</t>
        </r>
        <r>
          <rPr>
            <sz val="9"/>
            <color indexed="81"/>
            <rFont val="Tahoma"/>
            <family val="2"/>
          </rPr>
          <t xml:space="preserve">
ceiling height doesn't affect flooring</t>
        </r>
      </text>
    </comment>
    <comment ref="D274" authorId="0" shapeId="0" xr:uid="{00000000-0006-0000-0400-0000D7000000}">
      <text>
        <r>
          <rPr>
            <b/>
            <sz val="9"/>
            <color indexed="81"/>
            <rFont val="Tahoma"/>
            <family val="2"/>
          </rPr>
          <t>Guy:</t>
        </r>
        <r>
          <rPr>
            <sz val="9"/>
            <color indexed="81"/>
            <rFont val="Tahoma"/>
            <family val="2"/>
          </rPr>
          <t xml:space="preserve">
$4 sqft for wainscoating (includes extra paint labor)
$11 sqft for feature wall (assume 135 sqft of wall for 250 sqft room, so multiply 11 times 135/250 to get price per sqft of room, which is 5.9)</t>
        </r>
      </text>
    </comment>
    <comment ref="D275" authorId="0" shapeId="0" xr:uid="{00000000-0006-0000-0400-0000D8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276" authorId="0" shapeId="0" xr:uid="{00000000-0006-0000-0400-0000D9000000}">
      <text>
        <r>
          <rPr>
            <b/>
            <sz val="9"/>
            <color indexed="81"/>
            <rFont val="Tahoma"/>
            <family val="2"/>
          </rPr>
          <t>Guy:</t>
        </r>
        <r>
          <rPr>
            <sz val="9"/>
            <color indexed="81"/>
            <rFont val="Tahoma"/>
            <family val="2"/>
          </rPr>
          <t xml:space="preserve">
$800 for signature light fixture, $300 for one light fan, $125 per recessed light</t>
        </r>
      </text>
    </comment>
    <comment ref="D276" authorId="0" shapeId="0" xr:uid="{00000000-0006-0000-0400-0000DA000000}">
      <text>
        <r>
          <rPr>
            <b/>
            <sz val="9"/>
            <color indexed="81"/>
            <rFont val="Tahoma"/>
            <family val="2"/>
          </rPr>
          <t>Guy:</t>
        </r>
        <r>
          <rPr>
            <sz val="9"/>
            <color indexed="81"/>
            <rFont val="Tahoma"/>
            <family val="2"/>
          </rPr>
          <t xml:space="preserve">
$1.3 accounts for extra fan/light at $300 and more recessed lights</t>
        </r>
      </text>
    </comment>
    <comment ref="D277" authorId="0" shapeId="0" xr:uid="{00000000-0006-0000-0400-0000DB000000}">
      <text>
        <r>
          <rPr>
            <b/>
            <sz val="9"/>
            <color indexed="81"/>
            <rFont val="Tahoma"/>
            <family val="2"/>
          </rPr>
          <t>Guy:</t>
        </r>
        <r>
          <rPr>
            <sz val="9"/>
            <color indexed="81"/>
            <rFont val="Tahoma"/>
            <family val="2"/>
          </rPr>
          <t xml:space="preserve">
- $12 sqft materials
- $4.5 labor</t>
        </r>
      </text>
    </comment>
    <comment ref="G277" authorId="0" shapeId="0" xr:uid="{00000000-0006-0000-0400-0000DC000000}">
      <text>
        <r>
          <rPr>
            <b/>
            <sz val="9"/>
            <color indexed="81"/>
            <rFont val="Tahoma"/>
            <family val="2"/>
          </rPr>
          <t>Guy:</t>
        </r>
        <r>
          <rPr>
            <sz val="9"/>
            <color indexed="81"/>
            <rFont val="Tahoma"/>
            <family val="2"/>
          </rPr>
          <t xml:space="preserve">
ceiling height doesn't affect flooring</t>
        </r>
      </text>
    </comment>
    <comment ref="C278" authorId="0" shapeId="0" xr:uid="{00000000-0006-0000-0400-0000DD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D281" authorId="0" shapeId="0" xr:uid="{00000000-0006-0000-0400-0000DE000000}">
      <text>
        <r>
          <rPr>
            <b/>
            <sz val="9"/>
            <color indexed="81"/>
            <rFont val="Tahoma"/>
            <family val="2"/>
          </rPr>
          <t>Guy:</t>
        </r>
        <r>
          <rPr>
            <sz val="9"/>
            <color indexed="81"/>
            <rFont val="Tahoma"/>
            <family val="2"/>
          </rPr>
          <t xml:space="preserve">
$6 sqft for wainscoating (includes extra paint labor)
$25 sqft for feature wall (assume 135 sqft for 250 sqft room, so multiply 25 times 135/250 to get price per sqft of room, which is 13.5)</t>
        </r>
      </text>
    </comment>
    <comment ref="D282" authorId="0" shapeId="0" xr:uid="{00000000-0006-0000-0400-0000DF000000}">
      <text>
        <r>
          <rPr>
            <b/>
            <sz val="9"/>
            <color indexed="81"/>
            <rFont val="Tahoma"/>
            <family val="2"/>
          </rPr>
          <t>Guy:</t>
        </r>
        <r>
          <rPr>
            <sz val="9"/>
            <color indexed="81"/>
            <rFont val="Tahoma"/>
            <family val="2"/>
          </rPr>
          <t xml:space="preserve">
$5 labor (install, sand/poly)
$3 materials</t>
        </r>
      </text>
    </comment>
    <comment ref="C283" authorId="0" shapeId="0" xr:uid="{00000000-0006-0000-0400-0000E0000000}">
      <text>
        <r>
          <rPr>
            <b/>
            <sz val="9"/>
            <color indexed="81"/>
            <rFont val="Tahoma"/>
            <family val="2"/>
          </rPr>
          <t>Guy:</t>
        </r>
        <r>
          <rPr>
            <sz val="9"/>
            <color indexed="81"/>
            <rFont val="Tahoma"/>
            <family val="2"/>
          </rPr>
          <t xml:space="preserve">
$1600 for signature light fixture, $500 for one light fan, $125 per recessed light, $500 for acdent lighting</t>
        </r>
      </text>
    </comment>
    <comment ref="D283" authorId="0" shapeId="0" xr:uid="{00000000-0006-0000-0400-0000E1000000}">
      <text>
        <r>
          <rPr>
            <b/>
            <sz val="9"/>
            <color indexed="81"/>
            <rFont val="Tahoma"/>
            <family val="2"/>
          </rPr>
          <t>Guy:</t>
        </r>
        <r>
          <rPr>
            <sz val="9"/>
            <color indexed="81"/>
            <rFont val="Tahoma"/>
            <family val="2"/>
          </rPr>
          <t xml:space="preserve">
accounts for extra fan/light at $500, extra accent lighting and more recessed lights</t>
        </r>
      </text>
    </comment>
    <comment ref="D284" authorId="0" shapeId="0" xr:uid="{00000000-0006-0000-0400-0000E2000000}">
      <text>
        <r>
          <rPr>
            <b/>
            <sz val="9"/>
            <color indexed="81"/>
            <rFont val="Tahoma"/>
            <family val="2"/>
          </rPr>
          <t>Guy:</t>
        </r>
        <r>
          <rPr>
            <sz val="9"/>
            <color indexed="81"/>
            <rFont val="Tahoma"/>
            <family val="2"/>
          </rPr>
          <t xml:space="preserve">
- $20 sqft materials
- $5 labor</t>
        </r>
      </text>
    </comment>
    <comment ref="G284" authorId="0" shapeId="0" xr:uid="{00000000-0006-0000-0400-0000E3000000}">
      <text>
        <r>
          <rPr>
            <b/>
            <sz val="9"/>
            <color indexed="81"/>
            <rFont val="Tahoma"/>
            <family val="2"/>
          </rPr>
          <t>Guy:</t>
        </r>
        <r>
          <rPr>
            <sz val="9"/>
            <color indexed="81"/>
            <rFont val="Tahoma"/>
            <family val="2"/>
          </rPr>
          <t xml:space="preserve">
ceiling height doesn't affect flooring</t>
        </r>
      </text>
    </comment>
    <comment ref="C285" authorId="0" shapeId="0" xr:uid="{00000000-0006-0000-0400-0000E4000000}">
      <text>
        <r>
          <rPr>
            <b/>
            <sz val="9"/>
            <color indexed="81"/>
            <rFont val="Tahoma"/>
            <family val="2"/>
          </rPr>
          <t>Guy:</t>
        </r>
        <r>
          <rPr>
            <sz val="9"/>
            <color indexed="81"/>
            <rFont val="Tahoma"/>
            <family val="2"/>
          </rPr>
          <t xml:space="preserve">
-10000 fireplace installed
- $20 per sqft stone material
- $8 per sqft stone labor
- 6x9 foot of stone wall</t>
        </r>
      </text>
    </comment>
    <comment ref="G291" authorId="0" shapeId="0" xr:uid="{00000000-0006-0000-0400-0000E500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294" authorId="0" shapeId="0" xr:uid="{00000000-0006-0000-0400-0000E6000000}">
      <text>
        <r>
          <rPr>
            <b/>
            <sz val="9"/>
            <color indexed="81"/>
            <rFont val="Tahoma"/>
            <family val="2"/>
          </rPr>
          <t>Guy:</t>
        </r>
        <r>
          <rPr>
            <sz val="9"/>
            <color indexed="81"/>
            <rFont val="Tahoma"/>
            <family val="2"/>
          </rPr>
          <t xml:space="preserve">
- $5 sqft materials
- $2.5 labor</t>
        </r>
      </text>
    </comment>
    <comment ref="G294" authorId="0" shapeId="0" xr:uid="{00000000-0006-0000-0400-0000E7000000}">
      <text>
        <r>
          <rPr>
            <b/>
            <sz val="9"/>
            <color indexed="81"/>
            <rFont val="Tahoma"/>
            <family val="2"/>
          </rPr>
          <t>Guy:</t>
        </r>
        <r>
          <rPr>
            <sz val="9"/>
            <color indexed="81"/>
            <rFont val="Tahoma"/>
            <family val="2"/>
          </rPr>
          <t xml:space="preserve">
ceiling height doesn't affect flooring</t>
        </r>
      </text>
    </comment>
    <comment ref="G296" authorId="0" shapeId="0" xr:uid="{00000000-0006-0000-0400-0000E8000000}">
      <text>
        <r>
          <rPr>
            <b/>
            <sz val="9"/>
            <color indexed="81"/>
            <rFont val="Tahoma"/>
            <family val="2"/>
          </rPr>
          <t>Guy:</t>
        </r>
        <r>
          <rPr>
            <sz val="9"/>
            <color indexed="81"/>
            <rFont val="Tahoma"/>
            <family val="2"/>
          </rPr>
          <t xml:space="preserve">
only account for ceiling height for the door</t>
        </r>
      </text>
    </comment>
    <comment ref="J296" authorId="0" shapeId="0" xr:uid="{00000000-0006-0000-0400-0000E9000000}">
      <text>
        <r>
          <rPr>
            <b/>
            <sz val="9"/>
            <color indexed="81"/>
            <rFont val="Tahoma"/>
            <family val="2"/>
          </rPr>
          <t>Guy:</t>
        </r>
        <r>
          <rPr>
            <sz val="9"/>
            <color indexed="81"/>
            <rFont val="Tahoma"/>
            <family val="2"/>
          </rPr>
          <t xml:space="preserve">
assume accent/rople lighting has two "bulbs"</t>
        </r>
      </text>
    </comment>
    <comment ref="J297" authorId="0" shapeId="0" xr:uid="{00000000-0006-0000-0400-0000EA000000}">
      <text>
        <r>
          <rPr>
            <b/>
            <sz val="9"/>
            <color indexed="81"/>
            <rFont val="Tahoma"/>
            <family val="2"/>
          </rPr>
          <t>Guy:</t>
        </r>
        <r>
          <rPr>
            <sz val="9"/>
            <color indexed="81"/>
            <rFont val="Tahoma"/>
            <family val="2"/>
          </rPr>
          <t xml:space="preserve">
assume fan/light has two bulbs</t>
        </r>
      </text>
    </comment>
    <comment ref="C300" authorId="0" shapeId="0" xr:uid="{00000000-0006-0000-0400-0000EB000000}">
      <text>
        <r>
          <rPr>
            <b/>
            <sz val="9"/>
            <color indexed="81"/>
            <rFont val="Tahoma"/>
            <family val="2"/>
          </rPr>
          <t>Guy:</t>
        </r>
        <r>
          <rPr>
            <sz val="9"/>
            <color indexed="81"/>
            <rFont val="Tahoma"/>
            <family val="2"/>
          </rPr>
          <t xml:space="preserve">
$50 for custom paint</t>
        </r>
      </text>
    </comment>
    <comment ref="D300" authorId="0" shapeId="0" xr:uid="{00000000-0006-0000-0400-0000EC000000}">
      <text>
        <r>
          <rPr>
            <b/>
            <sz val="9"/>
            <color indexed="81"/>
            <rFont val="Tahoma"/>
            <family val="2"/>
          </rPr>
          <t>Guy:</t>
        </r>
        <r>
          <rPr>
            <sz val="9"/>
            <color indexed="81"/>
            <rFont val="Tahoma"/>
            <family val="2"/>
          </rPr>
          <t xml:space="preserve">
-nothing for paint
- $1 a sqft for chair rail</t>
        </r>
      </text>
    </comment>
    <comment ref="D301" authorId="0" shapeId="0" xr:uid="{00000000-0006-0000-0400-0000ED000000}">
      <text>
        <r>
          <rPr>
            <b/>
            <sz val="9"/>
            <color indexed="81"/>
            <rFont val="Tahoma"/>
            <family val="2"/>
          </rPr>
          <t>Guy:</t>
        </r>
        <r>
          <rPr>
            <sz val="9"/>
            <color indexed="81"/>
            <rFont val="Tahoma"/>
            <family val="2"/>
          </rPr>
          <t xml:space="preserve">
nothing for paint, $1.5 a sqft for crown</t>
        </r>
      </text>
    </comment>
    <comment ref="G303" authorId="0" shapeId="0" xr:uid="{00000000-0006-0000-0400-0000EF000000}">
      <text>
        <r>
          <rPr>
            <b/>
            <sz val="9"/>
            <color indexed="81"/>
            <rFont val="Tahoma"/>
            <family val="2"/>
          </rPr>
          <t>Guy:</t>
        </r>
        <r>
          <rPr>
            <sz val="9"/>
            <color indexed="81"/>
            <rFont val="Tahoma"/>
            <family val="2"/>
          </rPr>
          <t xml:space="preserve">
ceiling height doesn't affect flooring</t>
        </r>
      </text>
    </comment>
    <comment ref="G305" authorId="0" shapeId="0" xr:uid="{00000000-0006-0000-0400-0000F0000000}">
      <text>
        <r>
          <rPr>
            <b/>
            <sz val="9"/>
            <color indexed="81"/>
            <rFont val="Tahoma"/>
            <family val="2"/>
          </rPr>
          <t>Guy:</t>
        </r>
        <r>
          <rPr>
            <sz val="9"/>
            <color indexed="81"/>
            <rFont val="Tahoma"/>
            <family val="2"/>
          </rPr>
          <t xml:space="preserve">
only account for ceiling height for the door</t>
        </r>
      </text>
    </comment>
    <comment ref="D309" authorId="0" shapeId="0" xr:uid="{00000000-0006-0000-0400-0000F1000000}">
      <text>
        <r>
          <rPr>
            <b/>
            <sz val="9"/>
            <color indexed="81"/>
            <rFont val="Tahoma"/>
            <family val="2"/>
          </rPr>
          <t>Guy:</t>
        </r>
        <r>
          <rPr>
            <sz val="9"/>
            <color indexed="81"/>
            <rFont val="Tahoma"/>
            <family val="2"/>
          </rPr>
          <t xml:space="preserve">
$5 sqft for other wall feature
$400 linear foot for built-ns, 10' of built-ins, 100', so $40 a sqft for built-ins)</t>
        </r>
      </text>
    </comment>
    <comment ref="D310" authorId="0" shapeId="0" xr:uid="{00000000-0006-0000-0400-0000F2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311" authorId="0" shapeId="0" xr:uid="{00000000-0006-0000-0400-0000F3000000}">
      <text>
        <r>
          <rPr>
            <b/>
            <sz val="9"/>
            <color indexed="81"/>
            <rFont val="Tahoma"/>
            <family val="2"/>
          </rPr>
          <t>Guy:</t>
        </r>
        <r>
          <rPr>
            <sz val="9"/>
            <color indexed="81"/>
            <rFont val="Tahoma"/>
            <family val="2"/>
          </rPr>
          <t xml:space="preserve">
$800 for signature light fixture, $125 per recessed light</t>
        </r>
      </text>
    </comment>
    <comment ref="D311" authorId="0" shapeId="0" xr:uid="{00000000-0006-0000-0400-0000F400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G312" authorId="0" shapeId="0" xr:uid="{00000000-0006-0000-0400-0000F6000000}">
      <text>
        <r>
          <rPr>
            <b/>
            <sz val="9"/>
            <color indexed="81"/>
            <rFont val="Tahoma"/>
            <family val="2"/>
          </rPr>
          <t>Guy:</t>
        </r>
        <r>
          <rPr>
            <sz val="9"/>
            <color indexed="81"/>
            <rFont val="Tahoma"/>
            <family val="2"/>
          </rPr>
          <t xml:space="preserve">
ceiling height doesn't affect flooring</t>
        </r>
      </text>
    </comment>
    <comment ref="C313" authorId="0" shapeId="0" xr:uid="{00000000-0006-0000-0400-0000F7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G314" authorId="0" shapeId="0" xr:uid="{00000000-0006-0000-0400-0000F8000000}">
      <text>
        <r>
          <rPr>
            <b/>
            <sz val="9"/>
            <color indexed="81"/>
            <rFont val="Tahoma"/>
            <family val="2"/>
          </rPr>
          <t>Guy:</t>
        </r>
        <r>
          <rPr>
            <sz val="9"/>
            <color indexed="81"/>
            <rFont val="Tahoma"/>
            <family val="2"/>
          </rPr>
          <t xml:space="preserve">
only account for ceiling height for the door</t>
        </r>
      </text>
    </comment>
    <comment ref="D318" authorId="0" shapeId="0" xr:uid="{00000000-0006-0000-0400-0000F9000000}">
      <text>
        <r>
          <rPr>
            <b/>
            <sz val="9"/>
            <color indexed="81"/>
            <rFont val="Tahoma"/>
            <family val="2"/>
          </rPr>
          <t>Guy:</t>
        </r>
        <r>
          <rPr>
            <sz val="9"/>
            <color indexed="81"/>
            <rFont val="Tahoma"/>
            <family val="2"/>
          </rPr>
          <t xml:space="preserve">
$10 sqft for other wall feature
$800 linear foot for built-ns, 10' of built-ins, 100', so $40 a sqft for built-ins)</t>
        </r>
      </text>
    </comment>
    <comment ref="D319" authorId="0" shapeId="0" xr:uid="{00000000-0006-0000-0400-0000FA00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320" authorId="0" shapeId="0" xr:uid="{00000000-0006-0000-0400-0000FB000000}">
      <text>
        <r>
          <rPr>
            <b/>
            <sz val="9"/>
            <color indexed="81"/>
            <rFont val="Tahoma"/>
            <family val="2"/>
          </rPr>
          <t>Guy:</t>
        </r>
        <r>
          <rPr>
            <sz val="9"/>
            <color indexed="81"/>
            <rFont val="Tahoma"/>
            <family val="2"/>
          </rPr>
          <t xml:space="preserve">
$800 for signature light fixture, $500 for accent, $125 per recessed light</t>
        </r>
      </text>
    </comment>
    <comment ref="D320" authorId="0" shapeId="0" xr:uid="{00000000-0006-0000-0400-0000FC000000}">
      <text>
        <r>
          <rPr>
            <b/>
            <sz val="9"/>
            <color indexed="81"/>
            <rFont val="Tahoma"/>
            <family val="2"/>
          </rPr>
          <t>Guy:</t>
        </r>
        <r>
          <rPr>
            <sz val="9"/>
            <color indexed="81"/>
            <rFont val="Tahoma"/>
            <family val="2"/>
          </rPr>
          <t xml:space="preserve">
4 more lights at 125 a piece for largest dining room, plus more accent lighting. this accounts for more recessed lights</t>
        </r>
      </text>
    </comment>
    <comment ref="G321" authorId="0" shapeId="0" xr:uid="{00000000-0006-0000-0400-0000FE000000}">
      <text>
        <r>
          <rPr>
            <b/>
            <sz val="9"/>
            <color indexed="81"/>
            <rFont val="Tahoma"/>
            <family val="2"/>
          </rPr>
          <t>Guy:</t>
        </r>
        <r>
          <rPr>
            <sz val="9"/>
            <color indexed="81"/>
            <rFont val="Tahoma"/>
            <family val="2"/>
          </rPr>
          <t xml:space="preserve">
ceiling height doesn't affect flooring</t>
        </r>
      </text>
    </comment>
    <comment ref="C322" authorId="0" shapeId="0" xr:uid="{00000000-0006-0000-0400-0000FF00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G323" authorId="0" shapeId="0" xr:uid="{00000000-0006-0000-0400-000000010000}">
      <text>
        <r>
          <rPr>
            <b/>
            <sz val="9"/>
            <color indexed="81"/>
            <rFont val="Tahoma"/>
            <family val="2"/>
          </rPr>
          <t>Guy:</t>
        </r>
        <r>
          <rPr>
            <sz val="9"/>
            <color indexed="81"/>
            <rFont val="Tahoma"/>
            <family val="2"/>
          </rPr>
          <t xml:space="preserve">
only account for ceiling height for the door</t>
        </r>
      </text>
    </comment>
    <comment ref="C330" authorId="1" shapeId="0" xr:uid="{00000000-0006-0000-0400-000001010000}">
      <text>
        <r>
          <rPr>
            <b/>
            <sz val="9"/>
            <color indexed="81"/>
            <rFont val="Tahoma"/>
            <family val="2"/>
          </rPr>
          <t>1186341526V:</t>
        </r>
        <r>
          <rPr>
            <sz val="9"/>
            <color indexed="81"/>
            <rFont val="Tahoma"/>
            <family val="2"/>
          </rPr>
          <t xml:space="preserve">
nothing for paint
- $500 per window, assumes 11 windows for sun room at 154 sqft, but 3 windows would have been there anyway, so only charging for 8 extra windows
</t>
        </r>
      </text>
    </comment>
    <comment ref="D330" authorId="0" shapeId="0" xr:uid="{00000000-0006-0000-0400-000002010000}">
      <text>
        <r>
          <rPr>
            <b/>
            <sz val="9"/>
            <color indexed="81"/>
            <rFont val="Tahoma"/>
            <family val="2"/>
          </rPr>
          <t>Guy:</t>
        </r>
        <r>
          <rPr>
            <sz val="9"/>
            <color indexed="81"/>
            <rFont val="Tahoma"/>
            <family val="2"/>
          </rPr>
          <t xml:space="preserve">
- multiplier that gives a cost that provides 8 more windows in largest sun room vs. default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33" authorId="0" shapeId="0" xr:uid="{00000000-0006-0000-0400-000003010000}">
      <text>
        <r>
          <rPr>
            <b/>
            <sz val="9"/>
            <color indexed="81"/>
            <rFont val="Tahoma"/>
            <family val="2"/>
          </rPr>
          <t>Guy:</t>
        </r>
        <r>
          <rPr>
            <sz val="9"/>
            <color indexed="81"/>
            <rFont val="Tahoma"/>
            <family val="2"/>
          </rPr>
          <t xml:space="preserve">
- $5 sqft materials
- $2.5 labor</t>
        </r>
      </text>
    </comment>
    <comment ref="G333" authorId="0" shapeId="0" xr:uid="{00000000-0006-0000-0400-000004010000}">
      <text>
        <r>
          <rPr>
            <b/>
            <sz val="9"/>
            <color indexed="81"/>
            <rFont val="Tahoma"/>
            <family val="2"/>
          </rPr>
          <t>Guy:</t>
        </r>
        <r>
          <rPr>
            <sz val="9"/>
            <color indexed="81"/>
            <rFont val="Tahoma"/>
            <family val="2"/>
          </rPr>
          <t xml:space="preserve">
ceiling height doesn't affect flooring</t>
        </r>
      </text>
    </comment>
    <comment ref="J336" authorId="0" shapeId="0" xr:uid="{00000000-0006-0000-0400-000005010000}">
      <text>
        <r>
          <rPr>
            <b/>
            <sz val="9"/>
            <color indexed="81"/>
            <rFont val="Tahoma"/>
            <family val="2"/>
          </rPr>
          <t>Guy:</t>
        </r>
        <r>
          <rPr>
            <sz val="9"/>
            <color indexed="81"/>
            <rFont val="Tahoma"/>
            <family val="2"/>
          </rPr>
          <t xml:space="preserve">
assume fan/light has two bulbs</t>
        </r>
      </text>
    </comment>
    <comment ref="C337" authorId="0" shapeId="0" xr:uid="{00000000-0006-0000-0400-000006010000}">
      <text>
        <r>
          <rPr>
            <b/>
            <sz val="9"/>
            <color indexed="81"/>
            <rFont val="Tahoma"/>
            <family val="2"/>
          </rPr>
          <t>Guy:</t>
        </r>
        <r>
          <rPr>
            <sz val="9"/>
            <color indexed="81"/>
            <rFont val="Tahoma"/>
            <family val="2"/>
          </rPr>
          <t xml:space="preserve">
$50 for custom paint
- $600 per window, assumes 11 windows for sun room at 154 sqft, but 3 windows would have been there anyway, so only charging for 8 extra windows
</t>
        </r>
      </text>
    </comment>
    <comment ref="D337" authorId="0" shapeId="0" xr:uid="{00000000-0006-0000-0400-000007010000}">
      <text>
        <r>
          <rPr>
            <b/>
            <sz val="9"/>
            <color indexed="81"/>
            <rFont val="Tahoma"/>
            <family val="2"/>
          </rPr>
          <t>Guy:</t>
        </r>
        <r>
          <rPr>
            <sz val="9"/>
            <color indexed="81"/>
            <rFont val="Tahoma"/>
            <family val="2"/>
          </rPr>
          <t xml:space="preserve">
- multiplier that gives a cost that provides 8 more windows in largest sun room vs. default and extra trim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38" authorId="0" shapeId="0" xr:uid="{00000000-0006-0000-0400-000008010000}">
      <text>
        <r>
          <rPr>
            <b/>
            <sz val="9"/>
            <color indexed="81"/>
            <rFont val="Tahoma"/>
            <family val="2"/>
          </rPr>
          <t>Guy:</t>
        </r>
        <r>
          <rPr>
            <sz val="9"/>
            <color indexed="81"/>
            <rFont val="Tahoma"/>
            <family val="2"/>
          </rPr>
          <t xml:space="preserve">
nothing for paint, $1.5 a sqft for crown</t>
        </r>
      </text>
    </comment>
    <comment ref="G338" authorId="0" shapeId="0" xr:uid="{00000000-0006-0000-0400-000009010000}">
      <text>
        <r>
          <rPr>
            <b/>
            <sz val="9"/>
            <color indexed="81"/>
            <rFont val="Tahoma"/>
            <family val="2"/>
          </rPr>
          <t>Guy:</t>
        </r>
        <r>
          <rPr>
            <sz val="9"/>
            <color indexed="81"/>
            <rFont val="Tahoma"/>
            <family val="2"/>
          </rPr>
          <t xml:space="preserve">
includes ceiling height for ceiling because of more labor involved</t>
        </r>
      </text>
    </comment>
    <comment ref="D339" authorId="0" shapeId="0" xr:uid="{00000000-0006-0000-0400-00000A010000}">
      <text>
        <r>
          <rPr>
            <b/>
            <sz val="9"/>
            <color indexed="81"/>
            <rFont val="Tahoma"/>
            <family val="2"/>
          </rPr>
          <t>Guy:</t>
        </r>
        <r>
          <rPr>
            <sz val="9"/>
            <color indexed="81"/>
            <rFont val="Tahoma"/>
            <family val="2"/>
          </rPr>
          <t xml:space="preserve">
accounts for more light/fan for bigger room</t>
        </r>
      </text>
    </comment>
    <comment ref="G340" authorId="0" shapeId="0" xr:uid="{00000000-0006-0000-0400-00000C010000}">
      <text>
        <r>
          <rPr>
            <b/>
            <sz val="9"/>
            <color indexed="81"/>
            <rFont val="Tahoma"/>
            <family val="2"/>
          </rPr>
          <t>Guy:</t>
        </r>
        <r>
          <rPr>
            <sz val="9"/>
            <color indexed="81"/>
            <rFont val="Tahoma"/>
            <family val="2"/>
          </rPr>
          <t xml:space="preserve">
ceiling height doesn't affect flooring</t>
        </r>
      </text>
    </comment>
    <comment ref="C344" authorId="0" shapeId="0" xr:uid="{00000000-0006-0000-0400-00000D010000}">
      <text>
        <r>
          <rPr>
            <b/>
            <sz val="9"/>
            <color indexed="81"/>
            <rFont val="Tahoma"/>
            <family val="2"/>
          </rPr>
          <t>Guy:</t>
        </r>
        <r>
          <rPr>
            <sz val="9"/>
            <color indexed="81"/>
            <rFont val="Tahoma"/>
            <family val="2"/>
          </rPr>
          <t xml:space="preserve">
$50 for custom paint
- $700 per window, assumes 11 windows for sun room at 154 sqft, but 3 windows would have been there anyway, so only charging for 8 extra windows</t>
        </r>
      </text>
    </comment>
    <comment ref="D344" authorId="0" shapeId="0" xr:uid="{00000000-0006-0000-0400-00000E010000}">
      <text>
        <r>
          <rPr>
            <b/>
            <sz val="9"/>
            <color indexed="81"/>
            <rFont val="Tahoma"/>
            <family val="2"/>
          </rPr>
          <t>Guy:</t>
        </r>
        <r>
          <rPr>
            <sz val="9"/>
            <color indexed="81"/>
            <rFont val="Tahoma"/>
            <family val="2"/>
          </rPr>
          <t xml:space="preserve">
- multiplier that gives a cost that provides 8 more windows in largest sun room vs. default and extra trim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45" authorId="0" shapeId="0" xr:uid="{00000000-0006-0000-0400-00000F010000}">
      <text>
        <r>
          <rPr>
            <b/>
            <sz val="9"/>
            <color indexed="81"/>
            <rFont val="Tahoma"/>
            <family val="2"/>
          </rPr>
          <t>Guy:</t>
        </r>
        <r>
          <rPr>
            <sz val="9"/>
            <color indexed="81"/>
            <rFont val="Tahoma"/>
            <family val="2"/>
          </rPr>
          <t xml:space="preserve">
$5 labor (install, sand/poly)
$2 materials</t>
        </r>
      </text>
    </comment>
    <comment ref="G345" authorId="0" shapeId="0" xr:uid="{00000000-0006-0000-0400-000010010000}">
      <text>
        <r>
          <rPr>
            <b/>
            <sz val="9"/>
            <color indexed="81"/>
            <rFont val="Tahoma"/>
            <family val="2"/>
          </rPr>
          <t>Guy:</t>
        </r>
        <r>
          <rPr>
            <sz val="9"/>
            <color indexed="81"/>
            <rFont val="Tahoma"/>
            <family val="2"/>
          </rPr>
          <t xml:space="preserve">
includes ceiling height for ceiling because of more labor involved</t>
        </r>
      </text>
    </comment>
    <comment ref="C346" authorId="0" shapeId="0" xr:uid="{00000000-0006-0000-0400-000011010000}">
      <text>
        <r>
          <rPr>
            <b/>
            <sz val="9"/>
            <color indexed="81"/>
            <rFont val="Tahoma"/>
            <family val="2"/>
          </rPr>
          <t>Guy:</t>
        </r>
        <r>
          <rPr>
            <sz val="9"/>
            <color indexed="81"/>
            <rFont val="Tahoma"/>
            <family val="2"/>
          </rPr>
          <t xml:space="preserve">
$800 for signature light fixture, $125 per recessed light, $250 for accent lighting</t>
        </r>
      </text>
    </comment>
    <comment ref="D346" authorId="0" shapeId="0" xr:uid="{00000000-0006-0000-0400-000012010000}">
      <text>
        <r>
          <rPr>
            <b/>
            <sz val="9"/>
            <color indexed="81"/>
            <rFont val="Tahoma"/>
            <family val="2"/>
          </rPr>
          <t>Guy:</t>
        </r>
        <r>
          <rPr>
            <sz val="9"/>
            <color indexed="81"/>
            <rFont val="Tahoma"/>
            <family val="2"/>
          </rPr>
          <t xml:space="preserve">
$3 accounts for extra signature light, accent lighting and more recessed lights</t>
        </r>
      </text>
    </comment>
    <comment ref="G347" authorId="0" shapeId="0" xr:uid="{00000000-0006-0000-0400-000014010000}">
      <text>
        <r>
          <rPr>
            <b/>
            <sz val="9"/>
            <color indexed="81"/>
            <rFont val="Tahoma"/>
            <family val="2"/>
          </rPr>
          <t>Guy:</t>
        </r>
        <r>
          <rPr>
            <sz val="9"/>
            <color indexed="81"/>
            <rFont val="Tahoma"/>
            <family val="2"/>
          </rPr>
          <t xml:space="preserve">
ceiling height doesn't affect flooring</t>
        </r>
      </text>
    </comment>
    <comment ref="C348" authorId="0" shapeId="0" xr:uid="{00000000-0006-0000-0400-00001501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C351" authorId="0" shapeId="0" xr:uid="{00000000-0006-0000-0400-000016010000}">
      <text>
        <r>
          <rPr>
            <b/>
            <sz val="9"/>
            <color indexed="81"/>
            <rFont val="Tahoma"/>
            <family val="2"/>
          </rPr>
          <t>Guy:</t>
        </r>
        <r>
          <rPr>
            <sz val="9"/>
            <color indexed="81"/>
            <rFont val="Tahoma"/>
            <family val="2"/>
          </rPr>
          <t xml:space="preserve">
$50 for custom paint
- $800 per window, assumes 11 windows for sun room at 154 sqft, but 3 windows would have been there anyway, so only charging for 8 extra windows</t>
        </r>
      </text>
    </comment>
    <comment ref="D351" authorId="0" shapeId="0" xr:uid="{00000000-0006-0000-0400-000017010000}">
      <text>
        <r>
          <rPr>
            <b/>
            <sz val="9"/>
            <color indexed="81"/>
            <rFont val="Tahoma"/>
            <family val="2"/>
          </rPr>
          <t>Guy:</t>
        </r>
        <r>
          <rPr>
            <sz val="9"/>
            <color indexed="81"/>
            <rFont val="Tahoma"/>
            <family val="2"/>
          </rPr>
          <t xml:space="preserve">
- multiplier that gives a cost that provides 8 more windows in largest sun room vs. default and extra trim
- assumes 22 windows in 520' sun room, but assumes 6 windows would already be there wihtout sun room, so that is 16 windows extra.  Default sun room size has 8 windows extra, so that is why this multiplier is set to increase windows by quantity 8 for largest sunroom</t>
        </r>
      </text>
    </comment>
    <comment ref="D352" authorId="0" shapeId="0" xr:uid="{00000000-0006-0000-0400-000018010000}">
      <text>
        <r>
          <rPr>
            <b/>
            <sz val="9"/>
            <color indexed="81"/>
            <rFont val="Tahoma"/>
            <family val="2"/>
          </rPr>
          <t>Guy:</t>
        </r>
        <r>
          <rPr>
            <sz val="9"/>
            <color indexed="81"/>
            <rFont val="Tahoma"/>
            <family val="2"/>
          </rPr>
          <t xml:space="preserve">
$5 labor (install, sand/poly)
$3 materials (tonge and groove plus beams)</t>
        </r>
      </text>
    </comment>
    <comment ref="G352" authorId="0" shapeId="0" xr:uid="{00000000-0006-0000-0400-000019010000}">
      <text>
        <r>
          <rPr>
            <b/>
            <sz val="9"/>
            <color indexed="81"/>
            <rFont val="Tahoma"/>
            <family val="2"/>
          </rPr>
          <t>Guy:</t>
        </r>
        <r>
          <rPr>
            <sz val="9"/>
            <color indexed="81"/>
            <rFont val="Tahoma"/>
            <family val="2"/>
          </rPr>
          <t xml:space="preserve">
includes ceiling height for ceiling because of more labor involved</t>
        </r>
      </text>
    </comment>
    <comment ref="C353" authorId="0" shapeId="0" xr:uid="{00000000-0006-0000-0400-00001A010000}">
      <text>
        <r>
          <rPr>
            <b/>
            <sz val="9"/>
            <color indexed="81"/>
            <rFont val="Tahoma"/>
            <family val="2"/>
          </rPr>
          <t>Guy:</t>
        </r>
        <r>
          <rPr>
            <sz val="9"/>
            <color indexed="81"/>
            <rFont val="Tahoma"/>
            <family val="2"/>
          </rPr>
          <t xml:space="preserve">
$1600 for signature light fixture, $125 per recessed light, $500 for accent lighting</t>
        </r>
      </text>
    </comment>
    <comment ref="D353" authorId="0" shapeId="0" xr:uid="{00000000-0006-0000-0400-00001B010000}">
      <text>
        <r>
          <rPr>
            <b/>
            <sz val="9"/>
            <color indexed="81"/>
            <rFont val="Tahoma"/>
            <family val="2"/>
          </rPr>
          <t>Guy:</t>
        </r>
        <r>
          <rPr>
            <sz val="9"/>
            <color indexed="81"/>
            <rFont val="Tahoma"/>
            <family val="2"/>
          </rPr>
          <t xml:space="preserve">
$5 accounts for extra signature light, 
accent lighting and more recessed lights</t>
        </r>
      </text>
    </comment>
    <comment ref="D354" authorId="0" shapeId="0" xr:uid="{00000000-0006-0000-0400-00001C010000}">
      <text>
        <r>
          <rPr>
            <b/>
            <sz val="9"/>
            <color indexed="81"/>
            <rFont val="Tahoma"/>
            <family val="2"/>
          </rPr>
          <t>Guy:</t>
        </r>
        <r>
          <rPr>
            <sz val="9"/>
            <color indexed="81"/>
            <rFont val="Tahoma"/>
            <family val="2"/>
          </rPr>
          <t xml:space="preserve">
- $12 tile
- $1 other materials
- $8 labor</t>
        </r>
      </text>
    </comment>
    <comment ref="G354" authorId="0" shapeId="0" xr:uid="{00000000-0006-0000-0400-00001D010000}">
      <text>
        <r>
          <rPr>
            <b/>
            <sz val="9"/>
            <color indexed="81"/>
            <rFont val="Tahoma"/>
            <family val="2"/>
          </rPr>
          <t>Guy:</t>
        </r>
        <r>
          <rPr>
            <sz val="9"/>
            <color indexed="81"/>
            <rFont val="Tahoma"/>
            <family val="2"/>
          </rPr>
          <t xml:space="preserve">
ceiling height doesn't affect flooring</t>
        </r>
      </text>
    </comment>
    <comment ref="C355" authorId="0" shapeId="0" xr:uid="{00000000-0006-0000-0400-00001E010000}">
      <text>
        <r>
          <rPr>
            <b/>
            <sz val="9"/>
            <color indexed="81"/>
            <rFont val="Tahoma"/>
            <family val="2"/>
          </rPr>
          <t>Guy:</t>
        </r>
        <r>
          <rPr>
            <sz val="9"/>
            <color indexed="81"/>
            <rFont val="Tahoma"/>
            <family val="2"/>
          </rPr>
          <t xml:space="preserve">
-10000 fireplace installed
- $20 per sqft stone material
- $8 per sqft stone labor
- 6x9 foot of stone wall</t>
        </r>
      </text>
    </comment>
    <comment ref="B360" authorId="1" shapeId="0" xr:uid="{00000000-0006-0000-0400-00001F010000}">
      <text>
        <r>
          <rPr>
            <b/>
            <sz val="9"/>
            <color indexed="81"/>
            <rFont val="Tahoma"/>
            <family val="2"/>
          </rPr>
          <t>1186341526V:</t>
        </r>
        <r>
          <rPr>
            <sz val="9"/>
            <color indexed="81"/>
            <rFont val="Tahoma"/>
            <family val="2"/>
          </rPr>
          <t xml:space="preserve">
</t>
        </r>
      </text>
    </comment>
    <comment ref="G362" authorId="0" shapeId="0" xr:uid="{00000000-0006-0000-0400-000020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C364" authorId="2" shapeId="0" xr:uid="{FF3AEE94-F995-45E1-8109-13A33AE245D5}">
      <text>
        <r>
          <rPr>
            <b/>
            <sz val="9"/>
            <color indexed="81"/>
            <rFont val="Tahoma"/>
            <family val="2"/>
          </rPr>
          <t>guy barth:</t>
        </r>
        <r>
          <rPr>
            <sz val="9"/>
            <color indexed="81"/>
            <rFont val="Tahoma"/>
            <family val="2"/>
          </rPr>
          <t xml:space="preserve">
- fixture allowance plus electrical cost of additional fixture install</t>
        </r>
      </text>
    </comment>
    <comment ref="D365" authorId="0" shapeId="0" xr:uid="{00000000-0006-0000-0400-000021010000}">
      <text>
        <r>
          <rPr>
            <b/>
            <sz val="9"/>
            <color indexed="81"/>
            <rFont val="Tahoma"/>
            <family val="2"/>
          </rPr>
          <t>Guy:</t>
        </r>
        <r>
          <rPr>
            <sz val="9"/>
            <color indexed="81"/>
            <rFont val="Tahoma"/>
            <family val="2"/>
          </rPr>
          <t xml:space="preserve">
- $6 sqft materials
- $2.5 labor</t>
        </r>
      </text>
    </comment>
    <comment ref="G365" authorId="0" shapeId="0" xr:uid="{00000000-0006-0000-0400-000022010000}">
      <text>
        <r>
          <rPr>
            <b/>
            <sz val="9"/>
            <color indexed="81"/>
            <rFont val="Tahoma"/>
            <family val="2"/>
          </rPr>
          <t>Guy:</t>
        </r>
        <r>
          <rPr>
            <sz val="9"/>
            <color indexed="81"/>
            <rFont val="Tahoma"/>
            <family val="2"/>
          </rPr>
          <t xml:space="preserve">
ceiling height doesn't affect flooring</t>
        </r>
      </text>
    </comment>
    <comment ref="J367" authorId="0" shapeId="0" xr:uid="{00000000-0006-0000-0400-000023010000}">
      <text>
        <r>
          <rPr>
            <b/>
            <sz val="9"/>
            <color indexed="81"/>
            <rFont val="Tahoma"/>
            <family val="2"/>
          </rPr>
          <t>Guy:</t>
        </r>
        <r>
          <rPr>
            <sz val="9"/>
            <color indexed="81"/>
            <rFont val="Tahoma"/>
            <family val="2"/>
          </rPr>
          <t xml:space="preserve">
assume chandlier has two bulbs</t>
        </r>
      </text>
    </comment>
    <comment ref="C369" authorId="0" shapeId="0" xr:uid="{00000000-0006-0000-0400-000024010000}">
      <text>
        <r>
          <rPr>
            <b/>
            <sz val="9"/>
            <color indexed="81"/>
            <rFont val="Tahoma"/>
            <family val="2"/>
          </rPr>
          <t>Guy:</t>
        </r>
        <r>
          <rPr>
            <sz val="9"/>
            <color indexed="81"/>
            <rFont val="Tahoma"/>
            <family val="2"/>
          </rPr>
          <t xml:space="preserve">
$50 for custom paint</t>
        </r>
      </text>
    </comment>
    <comment ref="D369" authorId="0" shapeId="0" xr:uid="{00000000-0006-0000-0400-000025010000}">
      <text>
        <r>
          <rPr>
            <b/>
            <sz val="9"/>
            <color indexed="81"/>
            <rFont val="Tahoma"/>
            <family val="2"/>
          </rPr>
          <t>Guy:</t>
        </r>
        <r>
          <rPr>
            <sz val="9"/>
            <color indexed="81"/>
            <rFont val="Tahoma"/>
            <family val="2"/>
          </rPr>
          <t xml:space="preserve">
-nothing for paint
- $1 a sqft for chair rail
- 9$ for built-ins or basic cabinets</t>
        </r>
      </text>
    </comment>
    <comment ref="G369" authorId="0" shapeId="0" xr:uid="{00000000-0006-0000-0400-000026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370" authorId="0" shapeId="0" xr:uid="{00000000-0006-0000-0400-000027010000}">
      <text>
        <r>
          <rPr>
            <b/>
            <sz val="9"/>
            <color indexed="81"/>
            <rFont val="Tahoma"/>
            <family val="2"/>
          </rPr>
          <t>Guy:</t>
        </r>
        <r>
          <rPr>
            <sz val="9"/>
            <color indexed="81"/>
            <rFont val="Tahoma"/>
            <family val="2"/>
          </rPr>
          <t xml:space="preserve">
nothing for paint, $1.5 a sqft for crown</t>
        </r>
      </text>
    </comment>
    <comment ref="C371" authorId="2" shapeId="0" xr:uid="{BD381BBC-C322-4142-86CE-8004995C73CF}">
      <text>
        <r>
          <rPr>
            <b/>
            <sz val="9"/>
            <color indexed="81"/>
            <rFont val="Tahoma"/>
            <family val="2"/>
          </rPr>
          <t>guy barth:</t>
        </r>
        <r>
          <rPr>
            <sz val="9"/>
            <color indexed="81"/>
            <rFont val="Tahoma"/>
            <family val="2"/>
          </rPr>
          <t xml:space="preserve">
- fixture allowance plus electrical cost of additional fixture install</t>
        </r>
      </text>
    </comment>
    <comment ref="D372" authorId="0" shapeId="0" xr:uid="{00000000-0006-0000-0400-000028010000}">
      <text>
        <r>
          <rPr>
            <b/>
            <sz val="9"/>
            <color indexed="81"/>
            <rFont val="Tahoma"/>
            <family val="2"/>
          </rPr>
          <t>Guy:</t>
        </r>
        <r>
          <rPr>
            <sz val="9"/>
            <color indexed="81"/>
            <rFont val="Tahoma"/>
            <family val="2"/>
          </rPr>
          <t xml:space="preserve">
- $5 sqft materials
- $4.5 labor</t>
        </r>
      </text>
    </comment>
    <comment ref="G372" authorId="0" shapeId="0" xr:uid="{00000000-0006-0000-0400-000029010000}">
      <text>
        <r>
          <rPr>
            <b/>
            <sz val="9"/>
            <color indexed="81"/>
            <rFont val="Tahoma"/>
            <family val="2"/>
          </rPr>
          <t>Guy:</t>
        </r>
        <r>
          <rPr>
            <sz val="9"/>
            <color indexed="81"/>
            <rFont val="Tahoma"/>
            <family val="2"/>
          </rPr>
          <t xml:space="preserve">
ceiling height doesn't affect flooring</t>
        </r>
      </text>
    </comment>
    <comment ref="D376" authorId="0" shapeId="0" xr:uid="{00000000-0006-0000-0400-00002A010000}">
      <text>
        <r>
          <rPr>
            <b/>
            <sz val="9"/>
            <color indexed="81"/>
            <rFont val="Tahoma"/>
            <family val="2"/>
          </rPr>
          <t>Guy:</t>
        </r>
        <r>
          <rPr>
            <sz val="9"/>
            <color indexed="81"/>
            <rFont val="Tahoma"/>
            <family val="2"/>
          </rPr>
          <t xml:space="preserve">
$4 sqft for wainscoating (includes extra paint labor)
$13 sqft for feature wall (assume 90 sqft of wall for 100 sqft room, so multiply 13 times 90/100 to get price per sqft of room, which is 9.9)</t>
        </r>
      </text>
    </comment>
    <comment ref="D377" authorId="0" shapeId="0" xr:uid="{00000000-0006-0000-0400-00002B010000}">
      <text>
        <r>
          <rPr>
            <b/>
            <sz val="9"/>
            <color indexed="81"/>
            <rFont val="Tahoma"/>
            <family val="2"/>
          </rPr>
          <t>Guy:</t>
        </r>
        <r>
          <rPr>
            <sz val="9"/>
            <color indexed="81"/>
            <rFont val="Tahoma"/>
            <family val="2"/>
          </rPr>
          <t xml:space="preserve">
nothing for paint, $3 a sqft for crown (materials, labor, and paint labor), $7 a sqft for coffered (materials and labor)</t>
        </r>
      </text>
    </comment>
    <comment ref="C378" authorId="0" shapeId="0" xr:uid="{00000000-0006-0000-0400-00002C010000}">
      <text>
        <r>
          <rPr>
            <b/>
            <sz val="9"/>
            <color indexed="81"/>
            <rFont val="Tahoma"/>
            <family val="2"/>
          </rPr>
          <t>Guy:</t>
        </r>
        <r>
          <rPr>
            <sz val="9"/>
            <color indexed="81"/>
            <rFont val="Tahoma"/>
            <family val="2"/>
          </rPr>
          <t xml:space="preserve">
$800 for signature light fixture, $5- to install light, $125 per recessed light,</t>
        </r>
      </text>
    </comment>
    <comment ref="D378" authorId="0" shapeId="0" xr:uid="{00000000-0006-0000-0400-00002D010000}">
      <text>
        <r>
          <rPr>
            <b/>
            <sz val="9"/>
            <color indexed="81"/>
            <rFont val="Tahoma"/>
            <family val="2"/>
          </rPr>
          <t>Guy:</t>
        </r>
        <r>
          <rPr>
            <sz val="9"/>
            <color indexed="81"/>
            <rFont val="Tahoma"/>
            <family val="2"/>
          </rPr>
          <t xml:space="preserve">
4 more lights at 125 a piece for largest dining room, this accounts for more recessed lights</t>
        </r>
      </text>
    </comment>
    <comment ref="D379" authorId="0" shapeId="0" xr:uid="{00000000-0006-0000-0400-00002E010000}">
      <text>
        <r>
          <rPr>
            <b/>
            <sz val="9"/>
            <color indexed="81"/>
            <rFont val="Tahoma"/>
            <family val="2"/>
          </rPr>
          <t>Guy:</t>
        </r>
        <r>
          <rPr>
            <sz val="9"/>
            <color indexed="81"/>
            <rFont val="Tahoma"/>
            <family val="2"/>
          </rPr>
          <t xml:space="preserve">
- $12 sqft materials
- $4.5 labor</t>
        </r>
      </text>
    </comment>
    <comment ref="G379" authorId="0" shapeId="0" xr:uid="{00000000-0006-0000-0400-00002F010000}">
      <text>
        <r>
          <rPr>
            <b/>
            <sz val="9"/>
            <color indexed="81"/>
            <rFont val="Tahoma"/>
            <family val="2"/>
          </rPr>
          <t>Guy:</t>
        </r>
        <r>
          <rPr>
            <sz val="9"/>
            <color indexed="81"/>
            <rFont val="Tahoma"/>
            <family val="2"/>
          </rPr>
          <t xml:space="preserve">
ceiling height doesn't affect flooring</t>
        </r>
      </text>
    </comment>
    <comment ref="C380" authorId="0" shapeId="0" xr:uid="{00000000-0006-0000-0400-000030010000}">
      <text>
        <r>
          <rPr>
            <b/>
            <sz val="9"/>
            <color indexed="81"/>
            <rFont val="Tahoma"/>
            <family val="2"/>
          </rPr>
          <t>Guy:</t>
        </r>
        <r>
          <rPr>
            <sz val="9"/>
            <color indexed="81"/>
            <rFont val="Tahoma"/>
            <family val="2"/>
          </rPr>
          <t xml:space="preserve">
-4500 fireplace installed
- $11 per sqft stone material
- $10 per sqft stone labor
- 6x9 foot of stone wall</t>
        </r>
      </text>
    </comment>
    <comment ref="D383" authorId="0" shapeId="0" xr:uid="{00000000-0006-0000-0400-000031010000}">
      <text>
        <r>
          <rPr>
            <b/>
            <sz val="9"/>
            <color indexed="81"/>
            <rFont val="Tahoma"/>
            <family val="2"/>
          </rPr>
          <t>Guy:</t>
        </r>
        <r>
          <rPr>
            <sz val="9"/>
            <color indexed="81"/>
            <rFont val="Tahoma"/>
            <family val="2"/>
          </rPr>
          <t xml:space="preserve">
$4 sqft for wainscoating (includes extra paint labor)
$25 sqft for feature wall (assume 90 sqft of wall for 100 sqft room, so multiply 25 times 90/100 to get price per sqft of room, which is 22.5)</t>
        </r>
      </text>
    </comment>
    <comment ref="D384" authorId="0" shapeId="0" xr:uid="{00000000-0006-0000-0400-000032010000}">
      <text>
        <r>
          <rPr>
            <b/>
            <sz val="9"/>
            <color indexed="81"/>
            <rFont val="Tahoma"/>
            <family val="2"/>
          </rPr>
          <t>Guy:</t>
        </r>
        <r>
          <rPr>
            <sz val="9"/>
            <color indexed="81"/>
            <rFont val="Tahoma"/>
            <family val="2"/>
          </rPr>
          <t xml:space="preserve">
$5 labor (install, sand/poly)
$3 materials</t>
        </r>
      </text>
    </comment>
    <comment ref="C385" authorId="0" shapeId="0" xr:uid="{00000000-0006-0000-0400-000033010000}">
      <text>
        <r>
          <rPr>
            <b/>
            <sz val="9"/>
            <color indexed="81"/>
            <rFont val="Tahoma"/>
            <family val="2"/>
          </rPr>
          <t>Guy:</t>
        </r>
        <r>
          <rPr>
            <sz val="9"/>
            <color indexed="81"/>
            <rFont val="Tahoma"/>
            <family val="2"/>
          </rPr>
          <t xml:space="preserve">
$1600 for signature light fixture, $125 per recessed light, $500 for accent lighting</t>
        </r>
      </text>
    </comment>
    <comment ref="D385" authorId="0" shapeId="0" xr:uid="{00000000-0006-0000-0400-000034010000}">
      <text>
        <r>
          <rPr>
            <b/>
            <sz val="9"/>
            <color indexed="81"/>
            <rFont val="Tahoma"/>
            <family val="2"/>
          </rPr>
          <t>Guy:</t>
        </r>
        <r>
          <rPr>
            <sz val="9"/>
            <color indexed="81"/>
            <rFont val="Tahoma"/>
            <family val="2"/>
          </rPr>
          <t xml:space="preserve">
$2 accounts for extra accent lighting and more recessed lights</t>
        </r>
      </text>
    </comment>
    <comment ref="D386" authorId="0" shapeId="0" xr:uid="{00000000-0006-0000-0400-000035010000}">
      <text>
        <r>
          <rPr>
            <b/>
            <sz val="9"/>
            <color indexed="81"/>
            <rFont val="Tahoma"/>
            <family val="2"/>
          </rPr>
          <t>Guy:</t>
        </r>
        <r>
          <rPr>
            <sz val="9"/>
            <color indexed="81"/>
            <rFont val="Tahoma"/>
            <family val="2"/>
          </rPr>
          <t xml:space="preserve">
- $20 sqft materials
- $5 labor</t>
        </r>
      </text>
    </comment>
    <comment ref="G386" authorId="0" shapeId="0" xr:uid="{00000000-0006-0000-0400-000036010000}">
      <text>
        <r>
          <rPr>
            <b/>
            <sz val="9"/>
            <color indexed="81"/>
            <rFont val="Tahoma"/>
            <family val="2"/>
          </rPr>
          <t>Guy:</t>
        </r>
        <r>
          <rPr>
            <sz val="9"/>
            <color indexed="81"/>
            <rFont val="Tahoma"/>
            <family val="2"/>
          </rPr>
          <t xml:space="preserve">
ceiling height doesn't affect flooring</t>
        </r>
      </text>
    </comment>
    <comment ref="C387" authorId="0" shapeId="0" xr:uid="{00000000-0006-0000-0400-000037010000}">
      <text>
        <r>
          <rPr>
            <b/>
            <sz val="9"/>
            <color indexed="81"/>
            <rFont val="Tahoma"/>
            <family val="2"/>
          </rPr>
          <t>Guy:</t>
        </r>
        <r>
          <rPr>
            <sz val="9"/>
            <color indexed="81"/>
            <rFont val="Tahoma"/>
            <family val="2"/>
          </rPr>
          <t xml:space="preserve">
-10000 fireplace installed
- $20 per sqft stone material
- $10 per sqft stone labor
- 6x9 foot of stone wall</t>
        </r>
      </text>
    </comment>
    <comment ref="C394" authorId="0" shapeId="0" xr:uid="{00000000-0006-0000-0400-000038010000}">
      <text>
        <r>
          <rPr>
            <b/>
            <sz val="9"/>
            <color indexed="81"/>
            <rFont val="Tahoma"/>
            <family val="2"/>
          </rPr>
          <t>Guy:</t>
        </r>
        <r>
          <rPr>
            <sz val="9"/>
            <color indexed="81"/>
            <rFont val="Tahoma"/>
            <family val="2"/>
          </rPr>
          <t xml:space="preserve">
-400 for materials
- $50 an hour at 10 hour installation
- $300 for paint materials and labor
</t>
        </r>
      </text>
    </comment>
    <comment ref="D394" authorId="0" shapeId="0" xr:uid="{00000000-0006-0000-0400-000039010000}">
      <text>
        <r>
          <rPr>
            <b/>
            <sz val="9"/>
            <color indexed="81"/>
            <rFont val="Tahoma"/>
            <family val="2"/>
          </rPr>
          <t>Guy:</t>
        </r>
        <r>
          <rPr>
            <sz val="9"/>
            <color indexed="81"/>
            <rFont val="Tahoma"/>
            <family val="2"/>
          </rPr>
          <t xml:space="preserve">
- setting sqft cost to make it so linear feet of cabinet makes sense</t>
        </r>
      </text>
    </comment>
    <comment ref="C398" authorId="0" shapeId="0" xr:uid="{00000000-0006-0000-0400-00003A010000}">
      <text>
        <r>
          <rPr>
            <b/>
            <sz val="9"/>
            <color indexed="81"/>
            <rFont val="Tahoma"/>
            <family val="2"/>
          </rPr>
          <t>Guy:</t>
        </r>
        <r>
          <rPr>
            <sz val="9"/>
            <color indexed="81"/>
            <rFont val="Tahoma"/>
            <family val="2"/>
          </rPr>
          <t xml:space="preserve">
assumes tiile for small closet size space for washer and dryer regardless of house size</t>
        </r>
      </text>
    </comment>
    <comment ref="D398" authorId="0" shapeId="0" xr:uid="{00000000-0006-0000-0400-00003B010000}">
      <text>
        <r>
          <rPr>
            <b/>
            <sz val="9"/>
            <color indexed="81"/>
            <rFont val="Tahoma"/>
            <family val="2"/>
          </rPr>
          <t>Guy:</t>
        </r>
        <r>
          <rPr>
            <sz val="9"/>
            <color indexed="81"/>
            <rFont val="Tahoma"/>
            <family val="2"/>
          </rPr>
          <t xml:space="preserve">
- $2 tile, 1 materials, 10 labor</t>
        </r>
      </text>
    </comment>
    <comment ref="G398" authorId="0" shapeId="0" xr:uid="{00000000-0006-0000-0400-00003C010000}">
      <text>
        <r>
          <rPr>
            <b/>
            <sz val="9"/>
            <color indexed="81"/>
            <rFont val="Tahoma"/>
            <family val="2"/>
          </rPr>
          <t>Guy:</t>
        </r>
        <r>
          <rPr>
            <sz val="9"/>
            <color indexed="81"/>
            <rFont val="Tahoma"/>
            <family val="2"/>
          </rPr>
          <t xml:space="preserve">
ceiling height doesn't affect flooring</t>
        </r>
      </text>
    </comment>
    <comment ref="J398" authorId="0" shapeId="0" xr:uid="{00000000-0006-0000-0400-00003D010000}">
      <text>
        <r>
          <rPr>
            <b/>
            <sz val="9"/>
            <color indexed="81"/>
            <rFont val="Tahoma"/>
            <family val="2"/>
          </rPr>
          <t>Guy:</t>
        </r>
        <r>
          <rPr>
            <sz val="9"/>
            <color indexed="81"/>
            <rFont val="Tahoma"/>
            <family val="2"/>
          </rPr>
          <t xml:space="preserve">
assume upgraded light has two bulbs</t>
        </r>
      </text>
    </comment>
    <comment ref="C404" authorId="0" shapeId="0" xr:uid="{00000000-0006-0000-0400-00003E010000}">
      <text>
        <r>
          <rPr>
            <b/>
            <sz val="9"/>
            <color indexed="81"/>
            <rFont val="Tahoma"/>
            <family val="2"/>
          </rPr>
          <t>Guy:</t>
        </r>
        <r>
          <rPr>
            <sz val="9"/>
            <color indexed="81"/>
            <rFont val="Tahoma"/>
            <family val="2"/>
          </rPr>
          <t xml:space="preserve">
-4000 for materials
- $50 an hour at 16 hour installation
- $300 for paint materials and labor
</t>
        </r>
      </text>
    </comment>
    <comment ref="D404" authorId="0" shapeId="0" xr:uid="{00000000-0006-0000-0400-00003F010000}">
      <text>
        <r>
          <rPr>
            <b/>
            <sz val="9"/>
            <color indexed="81"/>
            <rFont val="Tahoma"/>
            <family val="2"/>
          </rPr>
          <t>Guy:</t>
        </r>
        <r>
          <rPr>
            <sz val="9"/>
            <color indexed="81"/>
            <rFont val="Tahoma"/>
            <family val="2"/>
          </rPr>
          <t xml:space="preserve">
- setting sqft cost to make it so linear feet of cabinet makes sense</t>
        </r>
      </text>
    </comment>
    <comment ref="D405" authorId="0" shapeId="0" xr:uid="{00000000-0006-0000-0400-000040010000}">
      <text>
        <r>
          <rPr>
            <b/>
            <sz val="9"/>
            <color indexed="81"/>
            <rFont val="Tahoma"/>
            <family val="2"/>
          </rPr>
          <t>Guy:</t>
        </r>
        <r>
          <rPr>
            <sz val="9"/>
            <color indexed="81"/>
            <rFont val="Tahoma"/>
            <family val="2"/>
          </rPr>
          <t xml:space="preserve">
- 35 sqft for granite, 6 linear feet, 2 feet deep</t>
        </r>
      </text>
    </comment>
    <comment ref="G405" authorId="0" shapeId="0" xr:uid="{00000000-0006-0000-0400-000041010000}">
      <text>
        <r>
          <rPr>
            <b/>
            <sz val="9"/>
            <color indexed="81"/>
            <rFont val="Tahoma"/>
            <family val="2"/>
          </rPr>
          <t>Guy:</t>
        </r>
        <r>
          <rPr>
            <sz val="9"/>
            <color indexed="81"/>
            <rFont val="Tahoma"/>
            <family val="2"/>
          </rPr>
          <t xml:space="preserve">
ceiling height doesn't affect countetops</t>
        </r>
      </text>
    </comment>
    <comment ref="B406" authorId="0" shapeId="0" xr:uid="{00000000-0006-0000-0400-000042010000}">
      <text>
        <r>
          <rPr>
            <b/>
            <sz val="9"/>
            <color indexed="81"/>
            <rFont val="Tahoma"/>
            <family val="2"/>
          </rPr>
          <t>Guy:</t>
        </r>
        <r>
          <rPr>
            <sz val="9"/>
            <color indexed="81"/>
            <rFont val="Tahoma"/>
            <family val="2"/>
          </rPr>
          <t xml:space="preserve">
Utility Sink - $400
http://www.homedecorators.com/p/martha-stewart-living-laundry-storage-utility-sink-cabinet/00/410/ 
</t>
        </r>
      </text>
    </comment>
    <comment ref="C406" authorId="0" shapeId="0" xr:uid="{00000000-0006-0000-0400-000043010000}">
      <text>
        <r>
          <rPr>
            <b/>
            <sz val="9"/>
            <color indexed="81"/>
            <rFont val="Tahoma"/>
            <family val="2"/>
          </rPr>
          <t>Guy:</t>
        </r>
        <r>
          <rPr>
            <sz val="9"/>
            <color indexed="81"/>
            <rFont val="Tahoma"/>
            <family val="2"/>
          </rPr>
          <t xml:space="preserve">
- 400 for sink
- $450 for plumbing
- $50 for installation</t>
        </r>
      </text>
    </comment>
    <comment ref="D406" authorId="0" shapeId="0" xr:uid="{00000000-0006-0000-0400-000044010000}">
      <text>
        <r>
          <rPr>
            <b/>
            <sz val="9"/>
            <color indexed="81"/>
            <rFont val="Tahoma"/>
            <family val="2"/>
          </rPr>
          <t>Guy:</t>
        </r>
        <r>
          <rPr>
            <sz val="9"/>
            <color indexed="81"/>
            <rFont val="Tahoma"/>
            <family val="2"/>
          </rPr>
          <t xml:space="preserve">
sqft costs to allow for larger sink</t>
        </r>
      </text>
    </comment>
    <comment ref="D408" authorId="0" shapeId="0" xr:uid="{00000000-0006-0000-0400-000045010000}">
      <text>
        <r>
          <rPr>
            <b/>
            <sz val="9"/>
            <color indexed="81"/>
            <rFont val="Tahoma"/>
            <family val="2"/>
          </rPr>
          <t>Guy:</t>
        </r>
        <r>
          <rPr>
            <sz val="9"/>
            <color indexed="81"/>
            <rFont val="Tahoma"/>
            <family val="2"/>
          </rPr>
          <t xml:space="preserve">
- 4 tile, 1 materials, 10 labor</t>
        </r>
      </text>
    </comment>
    <comment ref="G408" authorId="0" shapeId="0" xr:uid="{00000000-0006-0000-0400-000046010000}">
      <text>
        <r>
          <rPr>
            <b/>
            <sz val="9"/>
            <color indexed="81"/>
            <rFont val="Tahoma"/>
            <family val="2"/>
          </rPr>
          <t>Guy:</t>
        </r>
        <r>
          <rPr>
            <sz val="9"/>
            <color indexed="81"/>
            <rFont val="Tahoma"/>
            <family val="2"/>
          </rPr>
          <t xml:space="preserve">
ceiling height doesn't affect flooring</t>
        </r>
      </text>
    </comment>
    <comment ref="D409" authorId="0" shapeId="0" xr:uid="{00000000-0006-0000-0400-000047010000}">
      <text>
        <r>
          <rPr>
            <b/>
            <sz val="9"/>
            <color indexed="81"/>
            <rFont val="Tahoma"/>
            <family val="2"/>
          </rPr>
          <t>Guy:</t>
        </r>
        <r>
          <rPr>
            <sz val="9"/>
            <color indexed="81"/>
            <rFont val="Tahoma"/>
            <family val="2"/>
          </rPr>
          <t xml:space="preserve">
allows for more lighting in bigger room</t>
        </r>
      </text>
    </comment>
    <comment ref="C413" authorId="0" shapeId="0" xr:uid="{00000000-0006-0000-0400-000048010000}">
      <text>
        <r>
          <rPr>
            <b/>
            <sz val="9"/>
            <color indexed="81"/>
            <rFont val="Tahoma"/>
            <family val="2"/>
          </rPr>
          <t>Guy:</t>
        </r>
        <r>
          <rPr>
            <sz val="9"/>
            <color indexed="81"/>
            <rFont val="Tahoma"/>
            <family val="2"/>
          </rPr>
          <t xml:space="preserve">
$1500 for appliances
$450 for plumbing
$250 for electrical
$200 for dryer venting</t>
        </r>
      </text>
    </comment>
    <comment ref="C414" authorId="0" shapeId="0" xr:uid="{00000000-0006-0000-0400-000049010000}">
      <text>
        <r>
          <rPr>
            <b/>
            <sz val="9"/>
            <color indexed="81"/>
            <rFont val="Tahoma"/>
            <family val="2"/>
          </rPr>
          <t>Guy:</t>
        </r>
        <r>
          <rPr>
            <sz val="9"/>
            <color indexed="81"/>
            <rFont val="Tahoma"/>
            <family val="2"/>
          </rPr>
          <t xml:space="preserve">
-6000 for materials
- $50 an hour at 24 hour installation
- $300 for paint materials and labor
</t>
        </r>
      </text>
    </comment>
    <comment ref="D414" authorId="0" shapeId="0" xr:uid="{00000000-0006-0000-0400-00004A010000}">
      <text>
        <r>
          <rPr>
            <b/>
            <sz val="9"/>
            <color indexed="81"/>
            <rFont val="Tahoma"/>
            <family val="2"/>
          </rPr>
          <t>Guy:</t>
        </r>
        <r>
          <rPr>
            <sz val="9"/>
            <color indexed="81"/>
            <rFont val="Tahoma"/>
            <family val="2"/>
          </rPr>
          <t xml:space="preserve">
- setting sqft cost to make it so linear feet of cabinet makes sense</t>
        </r>
      </text>
    </comment>
    <comment ref="C415" authorId="0" shapeId="0" xr:uid="{00000000-0006-0000-0400-00004B010000}">
      <text>
        <r>
          <rPr>
            <b/>
            <sz val="9"/>
            <color indexed="81"/>
            <rFont val="Tahoma"/>
            <family val="2"/>
          </rPr>
          <t>Guy:</t>
        </r>
        <r>
          <rPr>
            <sz val="9"/>
            <color indexed="81"/>
            <rFont val="Tahoma"/>
            <family val="2"/>
          </rPr>
          <t xml:space="preserve">
- $50 per sqft
- 10 linear feet by 2 feet deep countertop</t>
        </r>
      </text>
    </comment>
    <comment ref="D415" authorId="0" shapeId="0" xr:uid="{00000000-0006-0000-0400-00004C010000}">
      <text>
        <r>
          <rPr>
            <b/>
            <sz val="9"/>
            <color indexed="81"/>
            <rFont val="Tahoma"/>
            <family val="2"/>
          </rPr>
          <t>Guy:</t>
        </r>
        <r>
          <rPr>
            <sz val="9"/>
            <color indexed="81"/>
            <rFont val="Tahoma"/>
            <family val="2"/>
          </rPr>
          <t xml:space="preserve">
- setting sqft cost to make it so linear feet of countertop makes sense</t>
        </r>
      </text>
    </comment>
    <comment ref="G415" authorId="1" shapeId="0" xr:uid="{00000000-0006-0000-0400-00004D010000}">
      <text>
        <r>
          <rPr>
            <b/>
            <sz val="9"/>
            <color indexed="81"/>
            <rFont val="Tahoma"/>
            <family val="2"/>
          </rPr>
          <t>1186341526V:</t>
        </r>
        <r>
          <rPr>
            <sz val="9"/>
            <color indexed="81"/>
            <rFont val="Tahoma"/>
            <family val="2"/>
          </rPr>
          <t xml:space="preserve">
countertops not affected by ceiling height</t>
        </r>
      </text>
    </comment>
    <comment ref="B416" authorId="0" shapeId="0" xr:uid="{00000000-0006-0000-0400-00004E010000}">
      <text>
        <r>
          <rPr>
            <b/>
            <sz val="9"/>
            <color indexed="81"/>
            <rFont val="Tahoma"/>
            <family val="2"/>
          </rPr>
          <t>Guy:</t>
        </r>
        <r>
          <rPr>
            <sz val="9"/>
            <color indexed="81"/>
            <rFont val="Tahoma"/>
            <family val="2"/>
          </rPr>
          <t xml:space="preserve">
Sink
http://www.moen.com/1800-series/31-25-x18-stainless-steel-18-gauge-double-bowl-sink/_/R-CONSUMER%3AG18210?next=SiteSearch.Image%7CPDP
about $400 </t>
        </r>
      </text>
    </comment>
    <comment ref="C416" authorId="1" shapeId="0" xr:uid="{00000000-0006-0000-0400-00004F010000}">
      <text>
        <r>
          <rPr>
            <b/>
            <sz val="9"/>
            <color indexed="81"/>
            <rFont val="Tahoma"/>
            <family val="2"/>
          </rPr>
          <t>1186341526V:</t>
        </r>
        <r>
          <rPr>
            <sz val="9"/>
            <color indexed="81"/>
            <rFont val="Tahoma"/>
            <family val="2"/>
          </rPr>
          <t xml:space="preserve">
$400 for sink
$450 for plumbing
$installation included with countertop.
Total is cheaper than all in one utility sink because cabinet costs are included in cabinet instead of an all in one sink like is given in silver</t>
        </r>
      </text>
    </comment>
    <comment ref="D416" authorId="0" shapeId="0" xr:uid="{00000000-0006-0000-0400-000050010000}">
      <text>
        <r>
          <rPr>
            <b/>
            <sz val="9"/>
            <color indexed="81"/>
            <rFont val="Tahoma"/>
            <family val="2"/>
          </rPr>
          <t>Guy:</t>
        </r>
        <r>
          <rPr>
            <sz val="9"/>
            <color indexed="81"/>
            <rFont val="Tahoma"/>
            <family val="2"/>
          </rPr>
          <t xml:space="preserve">
sqft costs to allow for larger sink</t>
        </r>
      </text>
    </comment>
    <comment ref="C417" authorId="0" shapeId="0" xr:uid="{00000000-0006-0000-0400-000051010000}">
      <text>
        <r>
          <rPr>
            <b/>
            <sz val="9"/>
            <color indexed="81"/>
            <rFont val="Tahoma"/>
            <family val="2"/>
          </rPr>
          <t>Guy:</t>
        </r>
        <r>
          <rPr>
            <sz val="9"/>
            <color indexed="81"/>
            <rFont val="Tahoma"/>
            <family val="2"/>
          </rPr>
          <t xml:space="preserve">
- crown (100 materials, 100 labor)
- tiile backsplash (6-12 sqft tile, 300 labor)</t>
        </r>
      </text>
    </comment>
    <comment ref="D417" authorId="0" shapeId="0" xr:uid="{00000000-0006-0000-0400-000052010000}">
      <text>
        <r>
          <rPr>
            <b/>
            <sz val="9"/>
            <color indexed="81"/>
            <rFont val="Tahoma"/>
            <family val="2"/>
          </rPr>
          <t>Guy:</t>
        </r>
        <r>
          <rPr>
            <sz val="9"/>
            <color indexed="81"/>
            <rFont val="Tahoma"/>
            <family val="2"/>
          </rPr>
          <t xml:space="preserve">
- multiplier for sqft
</t>
        </r>
      </text>
    </comment>
    <comment ref="D418" authorId="0" shapeId="0" xr:uid="{00000000-0006-0000-0400-000053010000}">
      <text>
        <r>
          <rPr>
            <b/>
            <sz val="9"/>
            <color indexed="81"/>
            <rFont val="Tahoma"/>
            <family val="2"/>
          </rPr>
          <t>Guy:</t>
        </r>
        <r>
          <rPr>
            <sz val="9"/>
            <color indexed="81"/>
            <rFont val="Tahoma"/>
            <family val="2"/>
          </rPr>
          <t xml:space="preserve">
- $8 sqft tiile
- $1 other materials
- $10 labor</t>
        </r>
      </text>
    </comment>
    <comment ref="G418" authorId="0" shapeId="0" xr:uid="{00000000-0006-0000-0400-000054010000}">
      <text>
        <r>
          <rPr>
            <b/>
            <sz val="9"/>
            <color indexed="81"/>
            <rFont val="Tahoma"/>
            <family val="2"/>
          </rPr>
          <t>Guy:</t>
        </r>
        <r>
          <rPr>
            <sz val="9"/>
            <color indexed="81"/>
            <rFont val="Tahoma"/>
            <family val="2"/>
          </rPr>
          <t xml:space="preserve">
ceiling height doesn't affect flooring</t>
        </r>
      </text>
    </comment>
    <comment ref="C419" authorId="0" shapeId="0" xr:uid="{00000000-0006-0000-0400-000055010000}">
      <text>
        <r>
          <rPr>
            <b/>
            <sz val="9"/>
            <color indexed="81"/>
            <rFont val="Tahoma"/>
            <family val="2"/>
          </rPr>
          <t>Guy:</t>
        </r>
        <r>
          <rPr>
            <sz val="9"/>
            <color indexed="81"/>
            <rFont val="Tahoma"/>
            <family val="2"/>
          </rPr>
          <t xml:space="preserve">
assume 3-6 (small to large) recessed and $400 for undercabinet</t>
        </r>
      </text>
    </comment>
    <comment ref="D419" authorId="0" shapeId="0" xr:uid="{00000000-0006-0000-0400-000056010000}">
      <text>
        <r>
          <rPr>
            <b/>
            <sz val="9"/>
            <color indexed="81"/>
            <rFont val="Tahoma"/>
            <family val="2"/>
          </rPr>
          <t>Guy:</t>
        </r>
        <r>
          <rPr>
            <sz val="9"/>
            <color indexed="81"/>
            <rFont val="Tahoma"/>
            <family val="2"/>
          </rPr>
          <t xml:space="preserve">
allows for more lighting in bigger room</t>
        </r>
      </text>
    </comment>
    <comment ref="C420" authorId="1" shapeId="0" xr:uid="{00000000-0006-0000-0400-000057010000}">
      <text>
        <r>
          <rPr>
            <b/>
            <sz val="9"/>
            <color indexed="81"/>
            <rFont val="Tahoma"/>
            <family val="2"/>
          </rPr>
          <t>1186341526V:</t>
        </r>
        <r>
          <rPr>
            <sz val="9"/>
            <color indexed="81"/>
            <rFont val="Tahoma"/>
            <family val="2"/>
          </rPr>
          <t xml:space="preserve">
$600 for tile labor (includes redguard and durarock), $5 sqft for tile (sqft of tile is 4*3 for floor, 4*9 for one wall, 3*2*9 total for the end walls)
$200 fixture
$450 plumbing</t>
        </r>
      </text>
    </comment>
    <comment ref="D420" authorId="1" shapeId="0" xr:uid="{00000000-0006-0000-0400-000058010000}">
      <text>
        <r>
          <rPr>
            <b/>
            <sz val="9"/>
            <color indexed="81"/>
            <rFont val="Tahoma"/>
            <family val="2"/>
          </rPr>
          <t>1186341526V:</t>
        </r>
        <r>
          <rPr>
            <sz val="9"/>
            <color indexed="81"/>
            <rFont val="Tahoma"/>
            <family val="2"/>
          </rPr>
          <t xml:space="preserve">
setting sqft cost to alllow for slightly bigger shower and more tile labor in a larger house</t>
        </r>
      </text>
    </comment>
    <comment ref="C423" authorId="0" shapeId="0" xr:uid="{00000000-0006-0000-0400-000059010000}">
      <text>
        <r>
          <rPr>
            <b/>
            <sz val="9"/>
            <color indexed="81"/>
            <rFont val="Tahoma"/>
            <family val="2"/>
          </rPr>
          <t>Guy:</t>
        </r>
        <r>
          <rPr>
            <sz val="9"/>
            <color indexed="81"/>
            <rFont val="Tahoma"/>
            <family val="2"/>
          </rPr>
          <t xml:space="preserve">
$3000 for appliances
$450 for plumbing
$250 for electrical
$200 for dryer venting</t>
        </r>
      </text>
    </comment>
    <comment ref="C424" authorId="0" shapeId="0" xr:uid="{00000000-0006-0000-0400-00005A010000}">
      <text>
        <r>
          <rPr>
            <b/>
            <sz val="9"/>
            <color indexed="81"/>
            <rFont val="Tahoma"/>
            <family val="2"/>
          </rPr>
          <t>Guy:</t>
        </r>
        <r>
          <rPr>
            <sz val="9"/>
            <color indexed="81"/>
            <rFont val="Tahoma"/>
            <family val="2"/>
          </rPr>
          <t xml:space="preserve">
-10000 for cabinets
- 1500 for installation
</t>
        </r>
      </text>
    </comment>
    <comment ref="D424" authorId="0" shapeId="0" xr:uid="{00000000-0006-0000-0400-00005B010000}">
      <text>
        <r>
          <rPr>
            <b/>
            <sz val="9"/>
            <color indexed="81"/>
            <rFont val="Tahoma"/>
            <family val="2"/>
          </rPr>
          <t>Guy:</t>
        </r>
        <r>
          <rPr>
            <sz val="9"/>
            <color indexed="81"/>
            <rFont val="Tahoma"/>
            <family val="2"/>
          </rPr>
          <t xml:space="preserve">
- setting sqft cost to make it so linear feet of cabinet makes sense</t>
        </r>
      </text>
    </comment>
    <comment ref="C425" authorId="0" shapeId="0" xr:uid="{00000000-0006-0000-0400-00005C010000}">
      <text>
        <r>
          <rPr>
            <b/>
            <sz val="9"/>
            <color indexed="81"/>
            <rFont val="Tahoma"/>
            <family val="2"/>
          </rPr>
          <t>Guy:</t>
        </r>
        <r>
          <rPr>
            <sz val="9"/>
            <color indexed="81"/>
            <rFont val="Tahoma"/>
            <family val="2"/>
          </rPr>
          <t xml:space="preserve">
- $50 per sqft
- 10 linear feet by 2 feet deep countertop</t>
        </r>
      </text>
    </comment>
    <comment ref="D425" authorId="0" shapeId="0" xr:uid="{00000000-0006-0000-0400-00005D010000}">
      <text>
        <r>
          <rPr>
            <b/>
            <sz val="9"/>
            <color indexed="81"/>
            <rFont val="Tahoma"/>
            <family val="2"/>
          </rPr>
          <t>Guy:</t>
        </r>
        <r>
          <rPr>
            <sz val="9"/>
            <color indexed="81"/>
            <rFont val="Tahoma"/>
            <family val="2"/>
          </rPr>
          <t xml:space="preserve">
- setting sqft cost to make it so linear feet of countertop makes sense</t>
        </r>
      </text>
    </comment>
    <comment ref="G425" authorId="1" shapeId="0" xr:uid="{00000000-0006-0000-0400-00005E010000}">
      <text>
        <r>
          <rPr>
            <b/>
            <sz val="9"/>
            <color indexed="81"/>
            <rFont val="Tahoma"/>
            <family val="2"/>
          </rPr>
          <t>1186341526V:</t>
        </r>
        <r>
          <rPr>
            <sz val="9"/>
            <color indexed="81"/>
            <rFont val="Tahoma"/>
            <family val="2"/>
          </rPr>
          <t xml:space="preserve">
countertops not affected by ceiling height</t>
        </r>
      </text>
    </comment>
    <comment ref="B426" authorId="0" shapeId="0" xr:uid="{00000000-0006-0000-0400-00005F010000}">
      <text>
        <r>
          <rPr>
            <b/>
            <sz val="9"/>
            <color indexed="81"/>
            <rFont val="Tahoma"/>
            <family val="2"/>
          </rPr>
          <t>Guy:</t>
        </r>
        <r>
          <rPr>
            <sz val="9"/>
            <color indexed="81"/>
            <rFont val="Tahoma"/>
            <family val="2"/>
          </rPr>
          <t xml:space="preserve">
Faucets 
http://www.moen.com/sto/spot-resist-stainless-one-handle-high-arc-pulldown-kitchen-faucet/_/R-CONSUMER%3AS72308ESRS?next=SiteSearch.Image%7CPDP</t>
        </r>
      </text>
    </comment>
    <comment ref="D426" authorId="0" shapeId="0" xr:uid="{00000000-0006-0000-0400-000060010000}">
      <text>
        <r>
          <rPr>
            <b/>
            <sz val="9"/>
            <color indexed="81"/>
            <rFont val="Tahoma"/>
            <family val="2"/>
          </rPr>
          <t>Guy:</t>
        </r>
        <r>
          <rPr>
            <sz val="9"/>
            <color indexed="81"/>
            <rFont val="Tahoma"/>
            <family val="2"/>
          </rPr>
          <t xml:space="preserve">
sqft costs to allow for larger sink</t>
        </r>
      </text>
    </comment>
    <comment ref="C427" authorId="0" shapeId="0" xr:uid="{00000000-0006-0000-0400-000061010000}">
      <text>
        <r>
          <rPr>
            <b/>
            <sz val="9"/>
            <color indexed="81"/>
            <rFont val="Tahoma"/>
            <family val="2"/>
          </rPr>
          <t>Guy:</t>
        </r>
        <r>
          <rPr>
            <sz val="9"/>
            <color indexed="81"/>
            <rFont val="Tahoma"/>
            <family val="2"/>
          </rPr>
          <t xml:space="preserve">
- coffered (200 materials, 100 labor)
- tiile half of wall (20 sqft tile, 600 labor) (150-275 sqft of tile)</t>
        </r>
      </text>
    </comment>
    <comment ref="D427" authorId="0" shapeId="0" xr:uid="{00000000-0006-0000-0400-000062010000}">
      <text>
        <r>
          <rPr>
            <b/>
            <sz val="9"/>
            <color indexed="81"/>
            <rFont val="Tahoma"/>
            <family val="2"/>
          </rPr>
          <t>Guy:</t>
        </r>
        <r>
          <rPr>
            <sz val="9"/>
            <color indexed="81"/>
            <rFont val="Tahoma"/>
            <family val="2"/>
          </rPr>
          <t xml:space="preserve">
- multiplier for sqft</t>
        </r>
      </text>
    </comment>
    <comment ref="D428" authorId="0" shapeId="0" xr:uid="{00000000-0006-0000-0400-000063010000}">
      <text>
        <r>
          <rPr>
            <b/>
            <sz val="9"/>
            <color indexed="81"/>
            <rFont val="Tahoma"/>
            <family val="2"/>
          </rPr>
          <t>Guy:</t>
        </r>
        <r>
          <rPr>
            <sz val="9"/>
            <color indexed="81"/>
            <rFont val="Tahoma"/>
            <family val="2"/>
          </rPr>
          <t xml:space="preserve">
- $12 tile
- $1 other materials
- $12 labor</t>
        </r>
      </text>
    </comment>
    <comment ref="G428" authorId="0" shapeId="0" xr:uid="{00000000-0006-0000-0400-000064010000}">
      <text>
        <r>
          <rPr>
            <b/>
            <sz val="9"/>
            <color indexed="81"/>
            <rFont val="Tahoma"/>
            <family val="2"/>
          </rPr>
          <t>Guy:</t>
        </r>
        <r>
          <rPr>
            <sz val="9"/>
            <color indexed="81"/>
            <rFont val="Tahoma"/>
            <family val="2"/>
          </rPr>
          <t xml:space="preserve">
ceiling height doesn't affect flooring</t>
        </r>
      </text>
    </comment>
    <comment ref="C429" authorId="0" shapeId="0" xr:uid="{00000000-0006-0000-0400-000065010000}">
      <text>
        <r>
          <rPr>
            <b/>
            <sz val="9"/>
            <color indexed="81"/>
            <rFont val="Tahoma"/>
            <family val="2"/>
          </rPr>
          <t>Guy:</t>
        </r>
        <r>
          <rPr>
            <sz val="9"/>
            <color indexed="81"/>
            <rFont val="Tahoma"/>
            <family val="2"/>
          </rPr>
          <t xml:space="preserve">
assume 6 recessed for $125 a piece, and $400 for undercabinet, $500 for chandelier</t>
        </r>
      </text>
    </comment>
    <comment ref="D429" authorId="0" shapeId="0" xr:uid="{00000000-0006-0000-0400-000066010000}">
      <text>
        <r>
          <rPr>
            <b/>
            <sz val="9"/>
            <color indexed="81"/>
            <rFont val="Tahoma"/>
            <family val="2"/>
          </rPr>
          <t>Guy:</t>
        </r>
        <r>
          <rPr>
            <sz val="9"/>
            <color indexed="81"/>
            <rFont val="Tahoma"/>
            <family val="2"/>
          </rPr>
          <t xml:space="preserve">
allows for more lighting in bigger room</t>
        </r>
      </text>
    </comment>
    <comment ref="C430" authorId="1" shapeId="0" xr:uid="{00000000-0006-0000-0400-000067010000}">
      <text>
        <r>
          <rPr>
            <b/>
            <sz val="9"/>
            <color indexed="81"/>
            <rFont val="Tahoma"/>
            <family val="2"/>
          </rPr>
          <t>1186341526V:</t>
        </r>
        <r>
          <rPr>
            <sz val="9"/>
            <color indexed="81"/>
            <rFont val="Tahoma"/>
            <family val="2"/>
          </rPr>
          <t xml:space="preserve">
$650 for tile labor (includes redguard and durarock), $15 sqft for tile (sqft of tile is 5*3 for floor, 5*9 for one wall, 3*2*9 total for the end walls)
$200 fixture
$450 plumbing</t>
        </r>
      </text>
    </comment>
    <comment ref="D430" authorId="1" shapeId="0" xr:uid="{00000000-0006-0000-0400-000068010000}">
      <text>
        <r>
          <rPr>
            <b/>
            <sz val="9"/>
            <color indexed="81"/>
            <rFont val="Tahoma"/>
            <family val="2"/>
          </rPr>
          <t>1186341526V:</t>
        </r>
        <r>
          <rPr>
            <sz val="9"/>
            <color indexed="81"/>
            <rFont val="Tahoma"/>
            <family val="2"/>
          </rPr>
          <t xml:space="preserve">
no change for bigger house</t>
        </r>
      </text>
    </comment>
    <comment ref="D437" authorId="1" shapeId="0" xr:uid="{00000000-0006-0000-0400-000069010000}">
      <text>
        <r>
          <rPr>
            <b/>
            <sz val="9"/>
            <color indexed="81"/>
            <rFont val="Tahoma"/>
            <family val="2"/>
          </rPr>
          <t>1186341526V:</t>
        </r>
        <r>
          <rPr>
            <sz val="9"/>
            <color indexed="81"/>
            <rFont val="Tahoma"/>
            <family val="2"/>
          </rPr>
          <t xml:space="preserve">
making the wine cellars larger for gold and platinum levels</t>
        </r>
      </text>
    </comment>
    <comment ref="C438" authorId="1" shapeId="0" xr:uid="{00000000-0006-0000-0400-00006A010000}">
      <text>
        <r>
          <rPr>
            <b/>
            <sz val="9"/>
            <color indexed="81"/>
            <rFont val="Tahoma"/>
            <family val="2"/>
          </rPr>
          <t>1186341526V:</t>
        </r>
        <r>
          <rPr>
            <sz val="9"/>
            <color indexed="81"/>
            <rFont val="Tahoma"/>
            <family val="2"/>
          </rPr>
          <t xml:space="preserve">
about $1500 for a 500 cubic feet unit, plus $500 for installation
</t>
        </r>
      </text>
    </comment>
    <comment ref="D438" authorId="1" shapeId="0" xr:uid="{00000000-0006-0000-0400-00006B010000}">
      <text>
        <r>
          <rPr>
            <b/>
            <sz val="9"/>
            <color indexed="81"/>
            <rFont val="Tahoma"/>
            <family val="2"/>
          </rPr>
          <t>1186341526V:</t>
        </r>
        <r>
          <rPr>
            <sz val="9"/>
            <color indexed="81"/>
            <rFont val="Tahoma"/>
            <family val="2"/>
          </rPr>
          <t xml:space="preserve">
cost of unit goes up to cool a bigger space</t>
        </r>
      </text>
    </comment>
    <comment ref="G438" authorId="1" shapeId="0" xr:uid="{00000000-0006-0000-0400-00006C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39" authorId="1" shapeId="0" xr:uid="{00000000-0006-0000-0400-00006D010000}">
      <text>
        <r>
          <rPr>
            <b/>
            <sz val="9"/>
            <color indexed="81"/>
            <rFont val="Tahoma"/>
            <family val="2"/>
          </rPr>
          <t>1186341526V:</t>
        </r>
        <r>
          <rPr>
            <sz val="9"/>
            <color indexed="81"/>
            <rFont val="Tahoma"/>
            <family val="2"/>
          </rPr>
          <t xml:space="preserve">
only affected by room height</t>
        </r>
      </text>
    </comment>
    <comment ref="G440" authorId="1" shapeId="0" xr:uid="{00000000-0006-0000-0400-00006E010000}">
      <text>
        <r>
          <rPr>
            <b/>
            <sz val="9"/>
            <color indexed="81"/>
            <rFont val="Tahoma"/>
            <family val="2"/>
          </rPr>
          <t>1186341526V:</t>
        </r>
        <r>
          <rPr>
            <sz val="9"/>
            <color indexed="81"/>
            <rFont val="Tahoma"/>
            <family val="2"/>
          </rPr>
          <t xml:space="preserve">
only affected by room height </t>
        </r>
      </text>
    </comment>
    <comment ref="C441" authorId="1" shapeId="0" xr:uid="{00000000-0006-0000-0400-00006F010000}">
      <text>
        <r>
          <rPr>
            <b/>
            <sz val="9"/>
            <color indexed="81"/>
            <rFont val="Tahoma"/>
            <family val="2"/>
          </rPr>
          <t>1186341526V:</t>
        </r>
        <r>
          <rPr>
            <sz val="9"/>
            <color indexed="81"/>
            <rFont val="Tahoma"/>
            <family val="2"/>
          </rPr>
          <t xml:space="preserve">
just a little bit more for green board over regular drivewall</t>
        </r>
      </text>
    </comment>
    <comment ref="G441" authorId="1" shapeId="0" xr:uid="{00000000-0006-0000-0400-000070010000}">
      <text>
        <r>
          <rPr>
            <b/>
            <sz val="9"/>
            <color indexed="81"/>
            <rFont val="Tahoma"/>
            <family val="2"/>
          </rPr>
          <t>1186341526V:</t>
        </r>
        <r>
          <rPr>
            <sz val="9"/>
            <color indexed="81"/>
            <rFont val="Tahoma"/>
            <family val="2"/>
          </rPr>
          <t xml:space="preserve">
labor for drywall ceiling happens regardless of whether there is a wine cellar</t>
        </r>
      </text>
    </comment>
    <comment ref="C443" authorId="1" shapeId="0" xr:uid="{00000000-0006-0000-0400-000071010000}">
      <text>
        <r>
          <rPr>
            <b/>
            <sz val="9"/>
            <color indexed="81"/>
            <rFont val="Tahoma"/>
            <family val="2"/>
          </rPr>
          <t>1186341526V:</t>
        </r>
        <r>
          <rPr>
            <sz val="9"/>
            <color indexed="81"/>
            <rFont val="Tahoma"/>
            <family val="2"/>
          </rPr>
          <t xml:space="preserve">
- Five $200 racks plus $200 for install labor
https://www.amazon.com/Modular-Beachwood-48-144-Capacity-Bottles/dp/B00XDAU5UO/ref=sr_1_6?s=kitchen&amp;ie=UTF8&amp;qid=1471638675&amp;sr=1-6&amp;refinements=p_n_feature_keywords_three_browse-bin%3A7061976011</t>
        </r>
      </text>
    </comment>
    <comment ref="G443" authorId="1" shapeId="0" xr:uid="{00000000-0006-0000-0400-000072010000}">
      <text>
        <r>
          <rPr>
            <b/>
            <sz val="9"/>
            <color indexed="81"/>
            <rFont val="Tahoma"/>
            <family val="2"/>
          </rPr>
          <t>1186341526V:</t>
        </r>
        <r>
          <rPr>
            <sz val="9"/>
            <color indexed="81"/>
            <rFont val="Tahoma"/>
            <family val="2"/>
          </rPr>
          <t xml:space="preserve">
only affected by room height</t>
        </r>
      </text>
    </comment>
    <comment ref="C445" authorId="1" shapeId="0" xr:uid="{00000000-0006-0000-0400-000073010000}">
      <text>
        <r>
          <rPr>
            <b/>
            <sz val="9"/>
            <color indexed="81"/>
            <rFont val="Tahoma"/>
            <family val="2"/>
          </rPr>
          <t>1186341526V:</t>
        </r>
        <r>
          <rPr>
            <sz val="9"/>
            <color indexed="81"/>
            <rFont val="Tahoma"/>
            <family val="2"/>
          </rPr>
          <t xml:space="preserve">
$350 for door, $100 for installation and finishing</t>
        </r>
      </text>
    </comment>
    <comment ref="G445" authorId="1" shapeId="0" xr:uid="{00000000-0006-0000-0400-000074010000}">
      <text>
        <r>
          <rPr>
            <b/>
            <sz val="9"/>
            <color indexed="81"/>
            <rFont val="Tahoma"/>
            <family val="2"/>
          </rPr>
          <t>1186341526V:</t>
        </r>
        <r>
          <rPr>
            <sz val="9"/>
            <color indexed="81"/>
            <rFont val="Tahoma"/>
            <family val="2"/>
          </rPr>
          <t xml:space="preserve">
only affected by room height as door not affect by angles</t>
        </r>
      </text>
    </comment>
    <comment ref="C448" authorId="1" shapeId="0" xr:uid="{00000000-0006-0000-0400-000075010000}">
      <text>
        <r>
          <rPr>
            <b/>
            <sz val="9"/>
            <color indexed="81"/>
            <rFont val="Tahoma"/>
            <family val="2"/>
          </rPr>
          <t>1186341526V:</t>
        </r>
        <r>
          <rPr>
            <sz val="9"/>
            <color indexed="81"/>
            <rFont val="Tahoma"/>
            <family val="2"/>
          </rPr>
          <t xml:space="preserve">
about $1500 for a 500 cubic feet unit, plus $500 for installation
</t>
        </r>
      </text>
    </comment>
    <comment ref="D448" authorId="1" shapeId="0" xr:uid="{00000000-0006-0000-0400-000076010000}">
      <text>
        <r>
          <rPr>
            <b/>
            <sz val="9"/>
            <color indexed="81"/>
            <rFont val="Tahoma"/>
            <family val="2"/>
          </rPr>
          <t>1186341526V:</t>
        </r>
        <r>
          <rPr>
            <sz val="9"/>
            <color indexed="81"/>
            <rFont val="Tahoma"/>
            <family val="2"/>
          </rPr>
          <t xml:space="preserve">
cost of unit goes up to cool a bigger space</t>
        </r>
      </text>
    </comment>
    <comment ref="G448" authorId="1" shapeId="0" xr:uid="{00000000-0006-0000-0400-000077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49" authorId="1" shapeId="0" xr:uid="{00000000-0006-0000-0400-000078010000}">
      <text>
        <r>
          <rPr>
            <b/>
            <sz val="9"/>
            <color indexed="81"/>
            <rFont val="Tahoma"/>
            <family val="2"/>
          </rPr>
          <t>1186341526V:</t>
        </r>
        <r>
          <rPr>
            <sz val="9"/>
            <color indexed="81"/>
            <rFont val="Tahoma"/>
            <family val="2"/>
          </rPr>
          <t xml:space="preserve">
only affected by room height</t>
        </r>
      </text>
    </comment>
    <comment ref="G450" authorId="1" shapeId="0" xr:uid="{00000000-0006-0000-0400-000079010000}">
      <text>
        <r>
          <rPr>
            <b/>
            <sz val="9"/>
            <color indexed="81"/>
            <rFont val="Tahoma"/>
            <family val="2"/>
          </rPr>
          <t>1186341526V:</t>
        </r>
        <r>
          <rPr>
            <sz val="9"/>
            <color indexed="81"/>
            <rFont val="Tahoma"/>
            <family val="2"/>
          </rPr>
          <t xml:space="preserve">
only affected by room height </t>
        </r>
      </text>
    </comment>
    <comment ref="D451" authorId="0" shapeId="0" xr:uid="{00000000-0006-0000-0400-00007A010000}">
      <text>
        <r>
          <rPr>
            <b/>
            <sz val="9"/>
            <color indexed="81"/>
            <rFont val="Tahoma"/>
            <family val="2"/>
          </rPr>
          <t>Guy:</t>
        </r>
        <r>
          <rPr>
            <sz val="9"/>
            <color indexed="81"/>
            <rFont val="Tahoma"/>
            <family val="2"/>
          </rPr>
          <t xml:space="preserve">
$5 labor (install, sand/poly)
$2 materials</t>
        </r>
      </text>
    </comment>
    <comment ref="G451" authorId="1" shapeId="0" xr:uid="{00000000-0006-0000-0400-00007B010000}">
      <text>
        <r>
          <rPr>
            <b/>
            <sz val="9"/>
            <color indexed="81"/>
            <rFont val="Tahoma"/>
            <family val="2"/>
          </rPr>
          <t>1186341526V:</t>
        </r>
        <r>
          <rPr>
            <sz val="9"/>
            <color indexed="81"/>
            <rFont val="Tahoma"/>
            <family val="2"/>
          </rPr>
          <t xml:space="preserve">
not affected by ceiling height</t>
        </r>
      </text>
    </comment>
    <comment ref="D452" authorId="0" shapeId="0" xr:uid="{00000000-0006-0000-0400-00007C010000}">
      <text>
        <r>
          <rPr>
            <b/>
            <sz val="9"/>
            <color indexed="81"/>
            <rFont val="Tahoma"/>
            <family val="2"/>
          </rPr>
          <t>Guy:</t>
        </r>
        <r>
          <rPr>
            <sz val="9"/>
            <color indexed="81"/>
            <rFont val="Tahoma"/>
            <family val="2"/>
          </rPr>
          <t xml:space="preserve">
- $4 tile
- $1 other materials
- $10 labor</t>
        </r>
      </text>
    </comment>
    <comment ref="G453" authorId="1" shapeId="0" xr:uid="{00000000-0006-0000-0400-00007D010000}">
      <text>
        <r>
          <rPr>
            <b/>
            <sz val="9"/>
            <color indexed="81"/>
            <rFont val="Tahoma"/>
            <family val="2"/>
          </rPr>
          <t>1186341526V:</t>
        </r>
        <r>
          <rPr>
            <sz val="9"/>
            <color indexed="81"/>
            <rFont val="Tahoma"/>
            <family val="2"/>
          </rPr>
          <t xml:space="preserve">
only affected by room height</t>
        </r>
      </text>
    </comment>
    <comment ref="C455" authorId="1" shapeId="0" xr:uid="{00000000-0006-0000-0400-00007E010000}">
      <text>
        <r>
          <rPr>
            <b/>
            <sz val="9"/>
            <color indexed="81"/>
            <rFont val="Tahoma"/>
            <family val="2"/>
          </rPr>
          <t>1186341526V:</t>
        </r>
        <r>
          <rPr>
            <sz val="9"/>
            <color indexed="81"/>
            <rFont val="Tahoma"/>
            <family val="2"/>
          </rPr>
          <t xml:space="preserve">
$2500 door plus $300 installatoin and finish
https://vigilantinc.com/wine-cellar-doors/wrought-iron-grates.php</t>
        </r>
      </text>
    </comment>
    <comment ref="G455" authorId="1" shapeId="0" xr:uid="{00000000-0006-0000-0400-00007F010000}">
      <text>
        <r>
          <rPr>
            <b/>
            <sz val="9"/>
            <color indexed="81"/>
            <rFont val="Tahoma"/>
            <family val="2"/>
          </rPr>
          <t>1186341526V:</t>
        </r>
        <r>
          <rPr>
            <sz val="9"/>
            <color indexed="81"/>
            <rFont val="Tahoma"/>
            <family val="2"/>
          </rPr>
          <t xml:space="preserve">
only affected by room height as door not affect by angles</t>
        </r>
      </text>
    </comment>
    <comment ref="D458" authorId="1" shapeId="0" xr:uid="{00000000-0006-0000-0400-000080010000}">
      <text>
        <r>
          <rPr>
            <b/>
            <sz val="9"/>
            <color indexed="81"/>
            <rFont val="Tahoma"/>
            <family val="2"/>
          </rPr>
          <t>1186341526V:</t>
        </r>
        <r>
          <rPr>
            <sz val="9"/>
            <color indexed="81"/>
            <rFont val="Tahoma"/>
            <family val="2"/>
          </rPr>
          <t xml:space="preserve">
cost of unit goes up to cool a bigger space</t>
        </r>
      </text>
    </comment>
    <comment ref="G458" authorId="1" shapeId="0" xr:uid="{00000000-0006-0000-0400-000081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59" authorId="1" shapeId="0" xr:uid="{00000000-0006-0000-0400-000082010000}">
      <text>
        <r>
          <rPr>
            <b/>
            <sz val="9"/>
            <color indexed="81"/>
            <rFont val="Tahoma"/>
            <family val="2"/>
          </rPr>
          <t>1186341526V:</t>
        </r>
        <r>
          <rPr>
            <sz val="9"/>
            <color indexed="81"/>
            <rFont val="Tahoma"/>
            <family val="2"/>
          </rPr>
          <t xml:space="preserve">
only affected by room height</t>
        </r>
      </text>
    </comment>
    <comment ref="C460" authorId="1" shapeId="0" xr:uid="{00000000-0006-0000-0400-000083010000}">
      <text>
        <r>
          <rPr>
            <b/>
            <sz val="9"/>
            <color indexed="81"/>
            <rFont val="Tahoma"/>
            <family val="2"/>
          </rPr>
          <t>1186341526V:</t>
        </r>
        <r>
          <rPr>
            <sz val="9"/>
            <color indexed="81"/>
            <rFont val="Tahoma"/>
            <family val="2"/>
          </rPr>
          <t xml:space="preserve">
$15 sqft of stone installed
10' linear feet of wall by 8' high</t>
        </r>
      </text>
    </comment>
    <comment ref="G460" authorId="1" shapeId="0" xr:uid="{00000000-0006-0000-0400-000084010000}">
      <text>
        <r>
          <rPr>
            <b/>
            <sz val="9"/>
            <color indexed="81"/>
            <rFont val="Tahoma"/>
            <family val="2"/>
          </rPr>
          <t>1186341526V:</t>
        </r>
        <r>
          <rPr>
            <sz val="9"/>
            <color indexed="81"/>
            <rFont val="Tahoma"/>
            <family val="2"/>
          </rPr>
          <t xml:space="preserve">
only affected by room height</t>
        </r>
      </text>
    </comment>
    <comment ref="D461" authorId="0" shapeId="0" xr:uid="{00000000-0006-0000-0400-000085010000}">
      <text>
        <r>
          <rPr>
            <b/>
            <sz val="9"/>
            <color indexed="81"/>
            <rFont val="Tahoma"/>
            <family val="2"/>
          </rPr>
          <t>Guy:</t>
        </r>
        <r>
          <rPr>
            <sz val="9"/>
            <color indexed="81"/>
            <rFont val="Tahoma"/>
            <family val="2"/>
          </rPr>
          <t xml:space="preserve">
- $17 installed (labor higher for ceiling)</t>
        </r>
      </text>
    </comment>
    <comment ref="G461" authorId="1" shapeId="0" xr:uid="{00000000-0006-0000-0400-000086010000}">
      <text>
        <r>
          <rPr>
            <b/>
            <sz val="9"/>
            <color indexed="81"/>
            <rFont val="Tahoma"/>
            <family val="2"/>
          </rPr>
          <t>1186341526V:</t>
        </r>
        <r>
          <rPr>
            <sz val="9"/>
            <color indexed="81"/>
            <rFont val="Tahoma"/>
            <family val="2"/>
          </rPr>
          <t xml:space="preserve">
not affected by ceiling height</t>
        </r>
      </text>
    </comment>
    <comment ref="D462" authorId="0" shapeId="0" xr:uid="{00000000-0006-0000-0400-000087010000}">
      <text>
        <r>
          <rPr>
            <b/>
            <sz val="9"/>
            <color indexed="81"/>
            <rFont val="Tahoma"/>
            <family val="2"/>
          </rPr>
          <t>Guy:</t>
        </r>
        <r>
          <rPr>
            <sz val="9"/>
            <color indexed="81"/>
            <rFont val="Tahoma"/>
            <family val="2"/>
          </rPr>
          <t xml:space="preserve">
- $10 tile
- $1 materials
- $10 labor</t>
        </r>
      </text>
    </comment>
    <comment ref="C464" authorId="1" shapeId="0" xr:uid="{00000000-0006-0000-0400-000088010000}">
      <text>
        <r>
          <rPr>
            <b/>
            <sz val="9"/>
            <color indexed="81"/>
            <rFont val="Tahoma"/>
            <family val="2"/>
          </rPr>
          <t>1186341526V:</t>
        </r>
        <r>
          <rPr>
            <sz val="9"/>
            <color indexed="81"/>
            <rFont val="Tahoma"/>
            <family val="2"/>
          </rPr>
          <t xml:space="preserve">
6 recessed at $125 a piece plus a $600 signature light</t>
        </r>
      </text>
    </comment>
    <comment ref="D464" authorId="1" shapeId="0" xr:uid="{00000000-0006-0000-0400-000089010000}">
      <text>
        <r>
          <rPr>
            <b/>
            <sz val="9"/>
            <color indexed="81"/>
            <rFont val="Tahoma"/>
            <family val="2"/>
          </rPr>
          <t>1186341526V:</t>
        </r>
        <r>
          <rPr>
            <sz val="9"/>
            <color indexed="81"/>
            <rFont val="Tahoma"/>
            <family val="2"/>
          </rPr>
          <t xml:space="preserve">
alllows for more recessed lights</t>
        </r>
      </text>
    </comment>
    <comment ref="G465" authorId="1" shapeId="0" xr:uid="{00000000-0006-0000-0400-00008A010000}">
      <text>
        <r>
          <rPr>
            <b/>
            <sz val="9"/>
            <color indexed="81"/>
            <rFont val="Tahoma"/>
            <family val="2"/>
          </rPr>
          <t>1186341526V:</t>
        </r>
        <r>
          <rPr>
            <sz val="9"/>
            <color indexed="81"/>
            <rFont val="Tahoma"/>
            <family val="2"/>
          </rPr>
          <t xml:space="preserve">
only affected by room height as door not affect by angles</t>
        </r>
      </text>
    </comment>
    <comment ref="D468" authorId="1" shapeId="0" xr:uid="{00000000-0006-0000-0400-00008B010000}">
      <text>
        <r>
          <rPr>
            <b/>
            <sz val="9"/>
            <color indexed="81"/>
            <rFont val="Tahoma"/>
            <family val="2"/>
          </rPr>
          <t>1186341526V:</t>
        </r>
        <r>
          <rPr>
            <sz val="9"/>
            <color indexed="81"/>
            <rFont val="Tahoma"/>
            <family val="2"/>
          </rPr>
          <t xml:space="preserve">
cost of unit goes up to cool a bigger space</t>
        </r>
      </text>
    </comment>
    <comment ref="G468" authorId="1" shapeId="0" xr:uid="{00000000-0006-0000-0400-00008C010000}">
      <text>
        <r>
          <rPr>
            <b/>
            <sz val="9"/>
            <color indexed="81"/>
            <rFont val="Tahoma"/>
            <family val="2"/>
          </rPr>
          <t>1186341526V:</t>
        </r>
        <r>
          <rPr>
            <sz val="9"/>
            <color indexed="81"/>
            <rFont val="Tahoma"/>
            <family val="2"/>
          </rPr>
          <t xml:space="preserve">
only affected by room height as the cooling unit has to be larger for taller rooms</t>
        </r>
      </text>
    </comment>
    <comment ref="G469" authorId="1" shapeId="0" xr:uid="{00000000-0006-0000-0400-00008D010000}">
      <text>
        <r>
          <rPr>
            <b/>
            <sz val="9"/>
            <color indexed="81"/>
            <rFont val="Tahoma"/>
            <family val="2"/>
          </rPr>
          <t>1186341526V:</t>
        </r>
        <r>
          <rPr>
            <sz val="9"/>
            <color indexed="81"/>
            <rFont val="Tahoma"/>
            <family val="2"/>
          </rPr>
          <t xml:space="preserve">
only affected by room height</t>
        </r>
      </text>
    </comment>
    <comment ref="C470" authorId="1" shapeId="0" xr:uid="{00000000-0006-0000-0400-00008E010000}">
      <text>
        <r>
          <rPr>
            <b/>
            <sz val="9"/>
            <color indexed="81"/>
            <rFont val="Tahoma"/>
            <family val="2"/>
          </rPr>
          <t>1186341526V:</t>
        </r>
        <r>
          <rPr>
            <sz val="9"/>
            <color indexed="81"/>
            <rFont val="Tahoma"/>
            <family val="2"/>
          </rPr>
          <t xml:space="preserve">
$25 sqft of stone installed
10' linear feet of wall by 8' high</t>
        </r>
      </text>
    </comment>
    <comment ref="G470" authorId="1" shapeId="0" xr:uid="{00000000-0006-0000-0400-00008F010000}">
      <text>
        <r>
          <rPr>
            <b/>
            <sz val="9"/>
            <color indexed="81"/>
            <rFont val="Tahoma"/>
            <family val="2"/>
          </rPr>
          <t>1186341526V:</t>
        </r>
        <r>
          <rPr>
            <sz val="9"/>
            <color indexed="81"/>
            <rFont val="Tahoma"/>
            <family val="2"/>
          </rPr>
          <t xml:space="preserve">
only affected by room height</t>
        </r>
      </text>
    </comment>
    <comment ref="D471" authorId="0" shapeId="0" xr:uid="{00000000-0006-0000-0400-000090010000}">
      <text>
        <r>
          <rPr>
            <b/>
            <sz val="9"/>
            <color indexed="81"/>
            <rFont val="Tahoma"/>
            <family val="2"/>
          </rPr>
          <t>Guy:</t>
        </r>
        <r>
          <rPr>
            <sz val="9"/>
            <color indexed="81"/>
            <rFont val="Tahoma"/>
            <family val="2"/>
          </rPr>
          <t xml:space="preserve">
- $27 installed (labor higher for ceiling)</t>
        </r>
      </text>
    </comment>
    <comment ref="G471" authorId="1" shapeId="0" xr:uid="{00000000-0006-0000-0400-000091010000}">
      <text>
        <r>
          <rPr>
            <b/>
            <sz val="9"/>
            <color indexed="81"/>
            <rFont val="Tahoma"/>
            <family val="2"/>
          </rPr>
          <t>1186341526V:</t>
        </r>
        <r>
          <rPr>
            <sz val="9"/>
            <color indexed="81"/>
            <rFont val="Tahoma"/>
            <family val="2"/>
          </rPr>
          <t xml:space="preserve">
not affected by ceiling height</t>
        </r>
      </text>
    </comment>
    <comment ref="D472" authorId="0" shapeId="0" xr:uid="{00000000-0006-0000-0400-000092010000}">
      <text>
        <r>
          <rPr>
            <b/>
            <sz val="9"/>
            <color indexed="81"/>
            <rFont val="Tahoma"/>
            <family val="2"/>
          </rPr>
          <t>Guy:</t>
        </r>
        <r>
          <rPr>
            <sz val="9"/>
            <color indexed="81"/>
            <rFont val="Tahoma"/>
            <family val="2"/>
          </rPr>
          <t xml:space="preserve">
- 15 tile
- 1 other materials
- 12 labor</t>
        </r>
      </text>
    </comment>
    <comment ref="G472" authorId="1" shapeId="0" xr:uid="{00000000-0006-0000-0400-000093010000}">
      <text>
        <r>
          <rPr>
            <b/>
            <sz val="9"/>
            <color indexed="81"/>
            <rFont val="Tahoma"/>
            <family val="2"/>
          </rPr>
          <t>1186341526V:</t>
        </r>
        <r>
          <rPr>
            <sz val="9"/>
            <color indexed="81"/>
            <rFont val="Tahoma"/>
            <family val="2"/>
          </rPr>
          <t xml:space="preserve">
not affected by ceiling height
</t>
        </r>
      </text>
    </comment>
    <comment ref="C474" authorId="1" shapeId="0" xr:uid="{00000000-0006-0000-0400-000094010000}">
      <text>
        <r>
          <rPr>
            <b/>
            <sz val="9"/>
            <color indexed="81"/>
            <rFont val="Tahoma"/>
            <family val="2"/>
          </rPr>
          <t>1186341526V:</t>
        </r>
        <r>
          <rPr>
            <sz val="9"/>
            <color indexed="81"/>
            <rFont val="Tahoma"/>
            <family val="2"/>
          </rPr>
          <t xml:space="preserve">
6 recessed at $125 a piece plus a $1000 per signature light</t>
        </r>
      </text>
    </comment>
    <comment ref="D474" authorId="1" shapeId="0" xr:uid="{00000000-0006-0000-0400-000095010000}">
      <text>
        <r>
          <rPr>
            <b/>
            <sz val="9"/>
            <color indexed="81"/>
            <rFont val="Tahoma"/>
            <family val="2"/>
          </rPr>
          <t>1186341526V:</t>
        </r>
        <r>
          <rPr>
            <sz val="9"/>
            <color indexed="81"/>
            <rFont val="Tahoma"/>
            <family val="2"/>
          </rPr>
          <t xml:space="preserve">
alllows for more recessed lights</t>
        </r>
      </text>
    </comment>
    <comment ref="D475" authorId="1" shapeId="0" xr:uid="{00000000-0006-0000-0400-000096010000}">
      <text>
        <r>
          <rPr>
            <b/>
            <sz val="9"/>
            <color indexed="81"/>
            <rFont val="Tahoma"/>
            <family val="2"/>
          </rPr>
          <t>1186341526V:</t>
        </r>
        <r>
          <rPr>
            <sz val="9"/>
            <color indexed="81"/>
            <rFont val="Tahoma"/>
            <family val="2"/>
          </rPr>
          <t xml:space="preserve">
allows for more linear feet of glass, but door remains the same size, so cost doesn't go up proportionally</t>
        </r>
      </text>
    </comment>
    <comment ref="A480" authorId="0" shapeId="0" xr:uid="{00000000-0006-0000-0400-000097010000}">
      <text>
        <r>
          <rPr>
            <b/>
            <sz val="9"/>
            <color indexed="81"/>
            <rFont val="Tahoma"/>
            <family val="2"/>
          </rPr>
          <t>Guy:</t>
        </r>
        <r>
          <rPr>
            <sz val="9"/>
            <color indexed="81"/>
            <rFont val="Tahoma"/>
            <family val="2"/>
          </rPr>
          <t xml:space="preserve">
finish when have internet</t>
        </r>
      </text>
    </comment>
    <comment ref="D483" authorId="1" shapeId="0" xr:uid="{00000000-0006-0000-0400-000098010000}">
      <text>
        <r>
          <rPr>
            <b/>
            <sz val="9"/>
            <color indexed="81"/>
            <rFont val="Tahoma"/>
            <family val="2"/>
          </rPr>
          <t>1186341526V:</t>
        </r>
        <r>
          <rPr>
            <sz val="9"/>
            <color indexed="81"/>
            <rFont val="Tahoma"/>
            <family val="2"/>
          </rPr>
          <t xml:space="preserve">
old notes for two levels below
assume 1/3 of room is 2nd level
$22 for 4x8 sheet of subflooring
$9 for 2x8x8', assume 16" spacing
$1.25 per sqft for materals
4-6 hours of labor (2 guys 3 hours piece)
$25 an hour
assume $2 per sqft labor</t>
        </r>
      </text>
    </comment>
    <comment ref="G483" authorId="1" shapeId="0" xr:uid="{00000000-0006-0000-0400-000099010000}">
      <text>
        <r>
          <rPr>
            <b/>
            <sz val="9"/>
            <color indexed="81"/>
            <rFont val="Tahoma"/>
            <family val="2"/>
          </rPr>
          <t>1186341526V:</t>
        </r>
        <r>
          <rPr>
            <sz val="9"/>
            <color indexed="81"/>
            <rFont val="Tahoma"/>
            <family val="2"/>
          </rPr>
          <t xml:space="preserve">
not affected by ceiling height</t>
        </r>
      </text>
    </comment>
    <comment ref="C488" authorId="1" shapeId="0" xr:uid="{00000000-0006-0000-0400-00009A010000}">
      <text>
        <r>
          <rPr>
            <b/>
            <sz val="9"/>
            <color indexed="81"/>
            <rFont val="Tahoma"/>
            <family val="2"/>
          </rPr>
          <t>1186341526V:</t>
        </r>
        <r>
          <rPr>
            <sz val="9"/>
            <color indexed="81"/>
            <rFont val="Tahoma"/>
            <family val="2"/>
          </rPr>
          <t xml:space="preserve">
5 ceiling speakers at $250 a piece with labor
- $100 for ceiling mount installed
- $400 materials labor for default wiring and faceplates</t>
        </r>
      </text>
    </comment>
    <comment ref="D488" authorId="1" shapeId="0" xr:uid="{00000000-0006-0000-0400-00009B010000}">
      <text>
        <r>
          <rPr>
            <b/>
            <sz val="9"/>
            <color indexed="81"/>
            <rFont val="Tahoma"/>
            <family val="2"/>
          </rPr>
          <t>1186341526V:</t>
        </r>
        <r>
          <rPr>
            <sz val="9"/>
            <color indexed="81"/>
            <rFont val="Tahoma"/>
            <family val="2"/>
          </rPr>
          <t xml:space="preserve">
$1 more per sqft over default for wiring materals/labor</t>
        </r>
      </text>
    </comment>
    <comment ref="G488" authorId="1" shapeId="0" xr:uid="{00000000-0006-0000-0400-00009C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D492" authorId="1" shapeId="0" xr:uid="{00000000-0006-0000-0400-00009D010000}">
      <text>
        <r>
          <rPr>
            <b/>
            <sz val="9"/>
            <color indexed="81"/>
            <rFont val="Tahoma"/>
            <family val="2"/>
          </rPr>
          <t>1186341526V:</t>
        </r>
        <r>
          <rPr>
            <sz val="9"/>
            <color indexed="81"/>
            <rFont val="Tahoma"/>
            <family val="2"/>
          </rPr>
          <t xml:space="preserve">
old notes for two levels below
assume 1/3 of room is 2nd level
$22 for 4x8 sheet of subflooring
$9 for 2x8x8', assume 16" spacing
$1.25 per sqft for materals
4-6 hours of labor (2 guys 3 hours piece)
$25 an hour
assume $2 per sqft labor</t>
        </r>
      </text>
    </comment>
    <comment ref="G492" authorId="1" shapeId="0" xr:uid="{00000000-0006-0000-0400-00009E010000}">
      <text>
        <r>
          <rPr>
            <b/>
            <sz val="9"/>
            <color indexed="81"/>
            <rFont val="Tahoma"/>
            <family val="2"/>
          </rPr>
          <t>1186341526V:</t>
        </r>
        <r>
          <rPr>
            <sz val="9"/>
            <color indexed="81"/>
            <rFont val="Tahoma"/>
            <family val="2"/>
          </rPr>
          <t xml:space="preserve">
not affected by ceiling height</t>
        </r>
      </text>
    </comment>
    <comment ref="C494" authorId="0" shapeId="0" xr:uid="{00000000-0006-0000-0400-00009F010000}">
      <text>
        <r>
          <rPr>
            <b/>
            <sz val="9"/>
            <color indexed="81"/>
            <rFont val="Tahoma"/>
            <family val="2"/>
          </rPr>
          <t>Guy:</t>
        </r>
        <r>
          <rPr>
            <sz val="9"/>
            <color indexed="81"/>
            <rFont val="Tahoma"/>
            <family val="2"/>
          </rPr>
          <t xml:space="preserve">
$200-250 for studs and plywood
- 5-7 hours of work for two framers $50*5
- $500 for built-in materials
- 1 day for two carpenters at $60 an hour 60*8</t>
        </r>
      </text>
    </comment>
    <comment ref="D494" authorId="0" shapeId="0" xr:uid="{00000000-0006-0000-0400-0000A0010000}">
      <text>
        <r>
          <rPr>
            <b/>
            <sz val="9"/>
            <color indexed="81"/>
            <rFont val="Tahoma"/>
            <family val="2"/>
          </rPr>
          <t>Guy:</t>
        </r>
        <r>
          <rPr>
            <sz val="9"/>
            <color indexed="81"/>
            <rFont val="Tahoma"/>
            <family val="2"/>
          </rPr>
          <t xml:space="preserve">
- value set to increase costs for larger sqft</t>
        </r>
      </text>
    </comment>
    <comment ref="D495" authorId="0" shapeId="0" xr:uid="{00000000-0006-0000-0400-0000A1010000}">
      <text>
        <r>
          <rPr>
            <b/>
            <sz val="9"/>
            <color indexed="81"/>
            <rFont val="Tahoma"/>
            <family val="2"/>
          </rPr>
          <t>Guy:</t>
        </r>
        <r>
          <rPr>
            <sz val="9"/>
            <color indexed="81"/>
            <rFont val="Tahoma"/>
            <family val="2"/>
          </rPr>
          <t xml:space="preserve">
$2 sqft for crown, noithing for ceiling paint
</t>
        </r>
      </text>
    </comment>
    <comment ref="C497" authorId="1" shapeId="0" xr:uid="{00000000-0006-0000-0400-0000A2010000}">
      <text>
        <r>
          <rPr>
            <b/>
            <sz val="9"/>
            <color indexed="81"/>
            <rFont val="Tahoma"/>
            <family val="2"/>
          </rPr>
          <t>1186341526V:</t>
        </r>
        <r>
          <rPr>
            <sz val="9"/>
            <color indexed="81"/>
            <rFont val="Tahoma"/>
            <family val="2"/>
          </rPr>
          <t xml:space="preserve">
-5 ceiling/wall speakers at $300
- Subwoofer speaker - $600
- stereo - $600
- projector - $2000
- screen - $800
- $100 for ceiling mount
- $300 for wiring materials
- labor to hook-up and insall everything - $750</t>
        </r>
      </text>
    </comment>
    <comment ref="D497" authorId="1" shapeId="0" xr:uid="{00000000-0006-0000-0400-0000A3010000}">
      <text>
        <r>
          <rPr>
            <b/>
            <sz val="9"/>
            <color indexed="81"/>
            <rFont val="Tahoma"/>
            <family val="2"/>
          </rPr>
          <t>1186341526V:</t>
        </r>
        <r>
          <rPr>
            <sz val="9"/>
            <color indexed="81"/>
            <rFont val="Tahoma"/>
            <family val="2"/>
          </rPr>
          <t xml:space="preserve">
$3 more per sqft over default for wiring materals/labor</t>
        </r>
      </text>
    </comment>
    <comment ref="G497" authorId="1" shapeId="0" xr:uid="{00000000-0006-0000-0400-0000A4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C498" authorId="0" shapeId="0" xr:uid="{00000000-0006-0000-0400-0000A5010000}">
      <text>
        <r>
          <rPr>
            <b/>
            <sz val="9"/>
            <color indexed="81"/>
            <rFont val="Tahoma"/>
            <family val="2"/>
          </rPr>
          <t>Guy:</t>
        </r>
        <r>
          <rPr>
            <sz val="9"/>
            <color indexed="81"/>
            <rFont val="Tahoma"/>
            <family val="2"/>
          </rPr>
          <t xml:space="preserve">
6 recessed lights plus ceiling mounted light</t>
        </r>
      </text>
    </comment>
    <comment ref="D498" authorId="0" shapeId="0" xr:uid="{00000000-0006-0000-0400-0000A6010000}">
      <text>
        <r>
          <rPr>
            <b/>
            <sz val="9"/>
            <color indexed="81"/>
            <rFont val="Tahoma"/>
            <family val="2"/>
          </rPr>
          <t>Guy:</t>
        </r>
        <r>
          <rPr>
            <sz val="9"/>
            <color indexed="81"/>
            <rFont val="Tahoma"/>
            <family val="2"/>
          </rPr>
          <t xml:space="preserve">
allows for more lights in larger room
</t>
        </r>
      </text>
    </comment>
    <comment ref="D501" authorId="1" shapeId="0" xr:uid="{00000000-0006-0000-0400-0000A7010000}">
      <text>
        <r>
          <rPr>
            <b/>
            <sz val="9"/>
            <color indexed="81"/>
            <rFont val="Tahoma"/>
            <family val="2"/>
          </rPr>
          <t>1186341526V:</t>
        </r>
        <r>
          <rPr>
            <sz val="9"/>
            <color indexed="81"/>
            <rFont val="Tahoma"/>
            <family val="2"/>
          </rPr>
          <t xml:space="preserve">
old notes for two levels below
assume 1/3 of room is 2nd level
$22 for 4x8 sheet of subflooring
$9 for 2x8x8', assume 16" spacing
$1.25 per sqft for materals
4-6 hours of labor (2 guys 3 hours piece)
$25 an hour
assume $2 per sqft labor</t>
        </r>
      </text>
    </comment>
    <comment ref="G501" authorId="1" shapeId="0" xr:uid="{00000000-0006-0000-0400-0000A8010000}">
      <text>
        <r>
          <rPr>
            <b/>
            <sz val="9"/>
            <color indexed="81"/>
            <rFont val="Tahoma"/>
            <family val="2"/>
          </rPr>
          <t>1186341526V:</t>
        </r>
        <r>
          <rPr>
            <sz val="9"/>
            <color indexed="81"/>
            <rFont val="Tahoma"/>
            <family val="2"/>
          </rPr>
          <t xml:space="preserve">
not affected by ceiling height</t>
        </r>
      </text>
    </comment>
    <comment ref="A502" authorId="0" shapeId="0" xr:uid="{00000000-0006-0000-0400-0000A9010000}">
      <text>
        <r>
          <rPr>
            <b/>
            <sz val="9"/>
            <color indexed="81"/>
            <rFont val="Tahoma"/>
            <family val="2"/>
          </rPr>
          <t>Guy:</t>
        </r>
        <r>
          <rPr>
            <sz val="9"/>
            <color indexed="81"/>
            <rFont val="Tahoma"/>
            <family val="2"/>
          </rPr>
          <t xml:space="preserve">
From Bert, insulation guy
1. fiberglass – basic – 75c sqft
2. rockwool – 1.5 sqft
3. open cell foam – $2 sqft
4. - resilient channel to decouple from drywall and studs, drywall guys would know cost
5. quiet rock drywall - $75 a sheet 8x4 sheet
6. sound proof barrier – 1/8 rubber $3.5 installed
http://www.tmsoundproofing.com/soundproofing-home-theaters.ht</t>
        </r>
      </text>
    </comment>
    <comment ref="C502" authorId="0" shapeId="0" xr:uid="{00000000-0006-0000-0400-0000AA010000}">
      <text>
        <r>
          <rPr>
            <b/>
            <sz val="9"/>
            <color indexed="81"/>
            <rFont val="Tahoma"/>
            <family val="2"/>
          </rPr>
          <t>Guy:</t>
        </r>
        <r>
          <rPr>
            <sz val="9"/>
            <color indexed="81"/>
            <rFont val="Tahoma"/>
            <family val="2"/>
          </rPr>
          <t xml:space="preserve">
- $700 for extra drywall
- $800 for clips, channels, and glue
- $1000 for labor glueing and installling clips and channels
- $150 for auto door bottom installed
- $50 for upgrade to solid core door
- $100 for door gasket installed</t>
        </r>
      </text>
    </comment>
    <comment ref="E502" authorId="0" shapeId="0" xr:uid="{00000000-0006-0000-0400-0000AB010000}">
      <text>
        <r>
          <rPr>
            <b/>
            <sz val="9"/>
            <color indexed="81"/>
            <rFont val="Tahoma"/>
            <family val="2"/>
          </rPr>
          <t>Guy:</t>
        </r>
        <r>
          <rPr>
            <sz val="9"/>
            <color indexed="81"/>
            <rFont val="Tahoma"/>
            <family val="2"/>
          </rPr>
          <t xml:space="preserve">
$200-250 for studs and plywood
- 5-7 hours of work for two framers $50*5</t>
        </r>
      </text>
    </comment>
    <comment ref="C503" authorId="0" shapeId="0" xr:uid="{00000000-0006-0000-0400-0000AC010000}">
      <text>
        <r>
          <rPr>
            <b/>
            <sz val="9"/>
            <color indexed="81"/>
            <rFont val="Tahoma"/>
            <family val="2"/>
          </rPr>
          <t>Guy:</t>
        </r>
        <r>
          <rPr>
            <sz val="9"/>
            <color indexed="81"/>
            <rFont val="Tahoma"/>
            <family val="2"/>
          </rPr>
          <t xml:space="preserve">
- $200-250 for studs and plywood
- 5-7 hours of work for two framers $50*5
- $1000-1500 for fabric features</t>
        </r>
      </text>
    </comment>
    <comment ref="D503" authorId="0" shapeId="0" xr:uid="{00000000-0006-0000-0400-0000AD010000}">
      <text>
        <r>
          <rPr>
            <b/>
            <sz val="9"/>
            <color indexed="81"/>
            <rFont val="Tahoma"/>
            <family val="2"/>
          </rPr>
          <t>Guy:</t>
        </r>
        <r>
          <rPr>
            <sz val="9"/>
            <color indexed="81"/>
            <rFont val="Tahoma"/>
            <family val="2"/>
          </rPr>
          <t xml:space="preserve">
- value set to increase costs for larger sqft</t>
        </r>
      </text>
    </comment>
    <comment ref="D504" authorId="0" shapeId="0" xr:uid="{00000000-0006-0000-0400-0000AE010000}">
      <text>
        <r>
          <rPr>
            <b/>
            <sz val="9"/>
            <color indexed="81"/>
            <rFont val="Tahoma"/>
            <family val="2"/>
          </rPr>
          <t>Guy:</t>
        </r>
        <r>
          <rPr>
            <sz val="9"/>
            <color indexed="81"/>
            <rFont val="Tahoma"/>
            <family val="2"/>
          </rPr>
          <t xml:space="preserve">
$1.5 sqft for crown and $1.5 sqft for configuration to allow rope lighting to shine up (materials, labor, drywall  labor), noithing for ceiling paint
</t>
        </r>
      </text>
    </comment>
    <comment ref="G504" authorId="1" shapeId="0" xr:uid="{00000000-0006-0000-0400-0000AF010000}">
      <text>
        <r>
          <rPr>
            <b/>
            <sz val="9"/>
            <color indexed="81"/>
            <rFont val="Tahoma"/>
            <family val="2"/>
          </rPr>
          <t>1186341526V:</t>
        </r>
        <r>
          <rPr>
            <sz val="9"/>
            <color indexed="81"/>
            <rFont val="Tahoma"/>
            <family val="2"/>
          </rPr>
          <t xml:space="preserve">
not affected by ceiling height</t>
        </r>
      </text>
    </comment>
    <comment ref="C506" authorId="1" shapeId="0" xr:uid="{00000000-0006-0000-0400-0000B0010000}">
      <text>
        <r>
          <rPr>
            <b/>
            <sz val="9"/>
            <color indexed="81"/>
            <rFont val="Tahoma"/>
            <family val="2"/>
          </rPr>
          <t>1186341526V:</t>
        </r>
        <r>
          <rPr>
            <sz val="9"/>
            <color indexed="81"/>
            <rFont val="Tahoma"/>
            <family val="2"/>
          </rPr>
          <t xml:space="preserve">
-7 ceiling/wall speakers at $1000
- 2 Subwoofer speakers - $1500
- stereo - $1000
- projector - $4000
- screen - $1200
- $100 for ceiling mount
- $700 for wiring materials
- labor to hook-up and insall everything - $1250</t>
        </r>
      </text>
    </comment>
    <comment ref="D506" authorId="1" shapeId="0" xr:uid="{00000000-0006-0000-0400-0000B1010000}">
      <text>
        <r>
          <rPr>
            <b/>
            <sz val="9"/>
            <color indexed="81"/>
            <rFont val="Tahoma"/>
            <family val="2"/>
          </rPr>
          <t>1186341526V:</t>
        </r>
        <r>
          <rPr>
            <sz val="9"/>
            <color indexed="81"/>
            <rFont val="Tahoma"/>
            <family val="2"/>
          </rPr>
          <t xml:space="preserve">
$1 more per sqft over default for wiring materals/labor</t>
        </r>
      </text>
    </comment>
    <comment ref="G506" authorId="1" shapeId="0" xr:uid="{00000000-0006-0000-0400-0000B2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C507" authorId="1" shapeId="0" xr:uid="{00000000-0006-0000-0400-0000B3010000}">
      <text>
        <r>
          <rPr>
            <b/>
            <sz val="9"/>
            <color indexed="81"/>
            <rFont val="Tahoma"/>
            <family val="2"/>
          </rPr>
          <t>1186341526V:</t>
        </r>
        <r>
          <rPr>
            <sz val="9"/>
            <color indexed="81"/>
            <rFont val="Tahoma"/>
            <family val="2"/>
          </rPr>
          <t xml:space="preserve">
6 recessed at $125 a piece plus 4 wall lights at $125, plus $400 of ceiling accent lighting</t>
        </r>
      </text>
    </comment>
    <comment ref="D507" authorId="0" shapeId="0" xr:uid="{00000000-0006-0000-0400-0000B4010000}">
      <text>
        <r>
          <rPr>
            <b/>
            <sz val="9"/>
            <color indexed="81"/>
            <rFont val="Tahoma"/>
            <family val="2"/>
          </rPr>
          <t>Guy:</t>
        </r>
        <r>
          <rPr>
            <sz val="9"/>
            <color indexed="81"/>
            <rFont val="Tahoma"/>
            <family val="2"/>
          </rPr>
          <t xml:space="preserve">
allows for more lights in larger room
</t>
        </r>
      </text>
    </comment>
    <comment ref="E510" authorId="0" shapeId="0" xr:uid="{00000000-0006-0000-0400-0000B5010000}">
      <text>
        <r>
          <rPr>
            <b/>
            <sz val="9"/>
            <color indexed="81"/>
            <rFont val="Tahoma"/>
            <family val="2"/>
          </rPr>
          <t>Guy:</t>
        </r>
        <r>
          <rPr>
            <sz val="9"/>
            <color indexed="81"/>
            <rFont val="Tahoma"/>
            <family val="2"/>
          </rPr>
          <t xml:space="preserve">
$200-250 for studs and plywood
- 5-7 hours of work for two framers $50*5</t>
        </r>
      </text>
    </comment>
    <comment ref="G510" authorId="0" shapeId="0" xr:uid="{00000000-0006-0000-0400-0000B6010000}">
      <text>
        <r>
          <rPr>
            <b/>
            <sz val="9"/>
            <color indexed="81"/>
            <rFont val="Tahoma"/>
            <family val="2"/>
          </rPr>
          <t>Guy:</t>
        </r>
        <r>
          <rPr>
            <sz val="9"/>
            <color indexed="81"/>
            <rFont val="Tahoma"/>
            <family val="2"/>
          </rPr>
          <t xml:space="preserve">
- seating levels slightly affected by angles, but keeping seating costs constant since furniture is moajority of paltinum seating cost</t>
        </r>
      </text>
    </comment>
    <comment ref="A511" authorId="0" shapeId="0" xr:uid="{00000000-0006-0000-0400-0000B7010000}">
      <text>
        <r>
          <rPr>
            <b/>
            <sz val="9"/>
            <color indexed="81"/>
            <rFont val="Tahoma"/>
            <family val="2"/>
          </rPr>
          <t>Guy:</t>
        </r>
        <r>
          <rPr>
            <sz val="9"/>
            <color indexed="81"/>
            <rFont val="Tahoma"/>
            <family val="2"/>
          </rPr>
          <t xml:space="preserve">
From Bert, insulation guy
1. fiberglass – basic – 75c sqft
2. rockwool – 1.5 sqft
3. open cell foam – $2 sqft
4. - resilient channel to decouple from drywall and studs, drywall guys would know cost
5. quiet rock drywall - $75 a sheet 8x4 sheet
6. sound proof barrier – 1/8 rubber $3.5 installed
http://www.tmsoundproofing.com/soundproofing-home-theaters.ht</t>
        </r>
      </text>
    </comment>
    <comment ref="C511" authorId="0" shapeId="0" xr:uid="{00000000-0006-0000-0400-0000B8010000}">
      <text>
        <r>
          <rPr>
            <b/>
            <sz val="9"/>
            <color indexed="81"/>
            <rFont val="Tahoma"/>
            <family val="2"/>
          </rPr>
          <t>Guy:</t>
        </r>
        <r>
          <rPr>
            <sz val="9"/>
            <color indexed="81"/>
            <rFont val="Tahoma"/>
            <family val="2"/>
          </rPr>
          <t xml:space="preserve">
- $700 for extra drywall
- $800 for clips, channels, and glue
- $1000 for labor glueing and installling clips and channels
- $150 for auto door bottom installed
- $50 for upgrade to solid core door
- $100 for door gasket installed</t>
        </r>
      </text>
    </comment>
    <comment ref="E511" authorId="0" shapeId="0" xr:uid="{00000000-0006-0000-0400-0000B9010000}">
      <text>
        <r>
          <rPr>
            <b/>
            <sz val="9"/>
            <color indexed="81"/>
            <rFont val="Tahoma"/>
            <family val="2"/>
          </rPr>
          <t>Guy:</t>
        </r>
        <r>
          <rPr>
            <sz val="9"/>
            <color indexed="81"/>
            <rFont val="Tahoma"/>
            <family val="2"/>
          </rPr>
          <t xml:space="preserve">
$200-250 for studs and plywood
- 5-7 hours of work for two framers $50*5</t>
        </r>
      </text>
    </comment>
    <comment ref="B513" authorId="1" shapeId="0" xr:uid="{00000000-0006-0000-0400-0000BA010000}">
      <text>
        <r>
          <rPr>
            <b/>
            <sz val="9"/>
            <color indexed="81"/>
            <rFont val="Tahoma"/>
            <family val="2"/>
          </rPr>
          <t>1186341526V:</t>
        </r>
        <r>
          <rPr>
            <sz val="9"/>
            <color indexed="81"/>
            <rFont val="Tahoma"/>
            <family val="2"/>
          </rPr>
          <t xml:space="preserve">
http://nightskymurals.com/</t>
        </r>
      </text>
    </comment>
    <comment ref="D513" authorId="1" shapeId="0" xr:uid="{00000000-0006-0000-0400-0000BB010000}">
      <text>
        <r>
          <rPr>
            <b/>
            <sz val="9"/>
            <color indexed="81"/>
            <rFont val="Tahoma"/>
            <family val="2"/>
          </rPr>
          <t>1186341526V:</t>
        </r>
        <r>
          <rPr>
            <sz val="9"/>
            <color indexed="81"/>
            <rFont val="Tahoma"/>
            <family val="2"/>
          </rPr>
          <t xml:space="preserve">
$16 sqft for painting
$2 sqft for soffit
$3 for lighting</t>
        </r>
      </text>
    </comment>
    <comment ref="C515" authorId="1" shapeId="0" xr:uid="{00000000-0006-0000-0400-0000BC010000}">
      <text>
        <r>
          <rPr>
            <b/>
            <sz val="9"/>
            <color indexed="81"/>
            <rFont val="Tahoma"/>
            <family val="2"/>
          </rPr>
          <t>1186341526V:</t>
        </r>
        <r>
          <rPr>
            <sz val="9"/>
            <color indexed="81"/>
            <rFont val="Tahoma"/>
            <family val="2"/>
          </rPr>
          <t xml:space="preserve">
-7 ceiling/wall speakers at $2000
- 2 Subwoofer speakers - $3000
- stereo - $1500
- amplifier - $2000
- projector - $8000
- screen - $2000
- $100 for ceiling mount
- $1500 for wiring materials
- labor to hook-up and insall everything - $1500</t>
        </r>
      </text>
    </comment>
    <comment ref="D515" authorId="1" shapeId="0" xr:uid="{00000000-0006-0000-0400-0000BD010000}">
      <text>
        <r>
          <rPr>
            <b/>
            <sz val="9"/>
            <color indexed="81"/>
            <rFont val="Tahoma"/>
            <family val="2"/>
          </rPr>
          <t>1186341526V:</t>
        </r>
        <r>
          <rPr>
            <sz val="9"/>
            <color indexed="81"/>
            <rFont val="Tahoma"/>
            <family val="2"/>
          </rPr>
          <t xml:space="preserve">
$1 more per sqft over default for wiring materals/labor</t>
        </r>
      </text>
    </comment>
    <comment ref="G515" authorId="1" shapeId="0" xr:uid="{00000000-0006-0000-0400-0000BE010000}">
      <text>
        <r>
          <rPr>
            <b/>
            <sz val="9"/>
            <color indexed="81"/>
            <rFont val="Tahoma"/>
            <family val="2"/>
          </rPr>
          <t>1186341526V:</t>
        </r>
        <r>
          <rPr>
            <sz val="9"/>
            <color indexed="81"/>
            <rFont val="Tahoma"/>
            <family val="2"/>
          </rPr>
          <t xml:space="preserve">
tiny bit more wiring for higher ceiling, but not going to increase price, not really affected by angles</t>
        </r>
      </text>
    </comment>
    <comment ref="C516" authorId="1" shapeId="0" xr:uid="{00000000-0006-0000-0400-0000BF010000}">
      <text>
        <r>
          <rPr>
            <b/>
            <sz val="9"/>
            <color indexed="81"/>
            <rFont val="Tahoma"/>
            <family val="2"/>
          </rPr>
          <t>1186341526V:</t>
        </r>
        <r>
          <rPr>
            <sz val="9"/>
            <color indexed="81"/>
            <rFont val="Tahoma"/>
            <family val="2"/>
          </rPr>
          <t xml:space="preserve">
6 recessed at $125 a piece plus 6 wall lights at $250, plus $1000 of ceiling accent lighting</t>
        </r>
      </text>
    </comment>
    <comment ref="D516" authorId="0" shapeId="0" xr:uid="{00000000-0006-0000-0400-0000C0010000}">
      <text>
        <r>
          <rPr>
            <b/>
            <sz val="9"/>
            <color indexed="81"/>
            <rFont val="Tahoma"/>
            <family val="2"/>
          </rPr>
          <t>Guy:</t>
        </r>
        <r>
          <rPr>
            <sz val="9"/>
            <color indexed="81"/>
            <rFont val="Tahoma"/>
            <family val="2"/>
          </rPr>
          <t xml:space="preserve">
allows for more lights in larger room
</t>
        </r>
      </text>
    </comment>
    <comment ref="C524" authorId="1" shapeId="0" xr:uid="{00000000-0006-0000-0400-0000C1010000}">
      <text>
        <r>
          <rPr>
            <b/>
            <sz val="9"/>
            <color indexed="81"/>
            <rFont val="Tahoma"/>
            <family val="2"/>
          </rPr>
          <t>1186341526V:</t>
        </r>
        <r>
          <rPr>
            <sz val="9"/>
            <color indexed="81"/>
            <rFont val="Tahoma"/>
            <family val="2"/>
          </rPr>
          <t xml:space="preserve">
- paint cost</t>
        </r>
      </text>
    </comment>
    <comment ref="C535" authorId="1" shapeId="0" xr:uid="{00000000-0006-0000-0400-0000C2010000}">
      <text>
        <r>
          <rPr>
            <b/>
            <sz val="9"/>
            <color indexed="81"/>
            <rFont val="Tahoma"/>
            <family val="2"/>
          </rPr>
          <t>1186341526V:</t>
        </r>
        <r>
          <rPr>
            <sz val="9"/>
            <color indexed="81"/>
            <rFont val="Tahoma"/>
            <family val="2"/>
          </rPr>
          <t xml:space="preserve">
- paint cost</t>
        </r>
      </text>
    </comment>
    <comment ref="D545" authorId="1" shapeId="0" xr:uid="{00000000-0006-0000-0400-0000C3010000}">
      <text>
        <r>
          <rPr>
            <b/>
            <sz val="9"/>
            <color indexed="81"/>
            <rFont val="Tahoma"/>
            <family val="2"/>
          </rPr>
          <t>1186341526V:</t>
        </r>
        <r>
          <rPr>
            <sz val="9"/>
            <color indexed="81"/>
            <rFont val="Tahoma"/>
            <family val="2"/>
          </rPr>
          <t xml:space="preserve">
- protect walls, clean/wash, etching, paint 2 coats, top coat
- prep labor - 50 cents a sqft
- paint plus seal labor - 50 cents a sqft
- 65 cents a sqft or expoxy and sealer mateirals</t>
        </r>
      </text>
    </comment>
    <comment ref="C546" authorId="1" shapeId="0" xr:uid="{00000000-0006-0000-0400-0000C4010000}">
      <text>
        <r>
          <rPr>
            <b/>
            <sz val="9"/>
            <color indexed="81"/>
            <rFont val="Tahoma"/>
            <family val="2"/>
          </rPr>
          <t>1186341526V:</t>
        </r>
        <r>
          <rPr>
            <sz val="9"/>
            <color indexed="81"/>
            <rFont val="Tahoma"/>
            <family val="2"/>
          </rPr>
          <t xml:space="preserve">
- paint cost</t>
        </r>
      </text>
    </comment>
    <comment ref="B548" authorId="0" shapeId="0" xr:uid="{00000000-0006-0000-0400-0000C5010000}">
      <text>
        <r>
          <rPr>
            <b/>
            <sz val="9"/>
            <color indexed="81"/>
            <rFont val="Tahoma"/>
            <family val="2"/>
          </rPr>
          <t>Guy:</t>
        </r>
        <r>
          <rPr>
            <sz val="9"/>
            <color indexed="81"/>
            <rFont val="Tahoma"/>
            <family val="2"/>
          </rPr>
          <t xml:space="preserve">
http://www.gladiatorgarageworks.com/room-packages-and-kits/room-packages/garage/medium-garage-25-piece-package/[GDRBUNGAR008-NAR]/ </t>
        </r>
      </text>
    </comment>
    <comment ref="C548" authorId="1" shapeId="0" xr:uid="{00000000-0006-0000-0400-0000C6010000}">
      <text>
        <r>
          <rPr>
            <b/>
            <sz val="9"/>
            <color indexed="81"/>
            <rFont val="Tahoma"/>
            <family val="2"/>
          </rPr>
          <t>1186341526V:</t>
        </r>
        <r>
          <rPr>
            <sz val="9"/>
            <color indexed="81"/>
            <rFont val="Tahoma"/>
            <family val="2"/>
          </rPr>
          <t xml:space="preserve">
materials - $4500 (plus tax) for package
labor - 8 hours of 2 guys at $50 per hour total for install</t>
        </r>
      </text>
    </comment>
    <comment ref="D549" authorId="1" shapeId="0" xr:uid="{00000000-0006-0000-0400-0000C7010000}">
      <text>
        <r>
          <rPr>
            <b/>
            <sz val="9"/>
            <color indexed="81"/>
            <rFont val="Tahoma"/>
            <family val="2"/>
          </rPr>
          <t>1186341526V:</t>
        </r>
        <r>
          <rPr>
            <sz val="9"/>
            <color indexed="81"/>
            <rFont val="Tahoma"/>
            <family val="2"/>
          </rPr>
          <t xml:space="preserve">
50 cents a sqft foot for batt insulation (assumes two walls worth)</t>
        </r>
      </text>
    </comment>
    <comment ref="D556" authorId="1" shapeId="0" xr:uid="{00000000-0006-0000-0400-0000C8010000}">
      <text>
        <r>
          <rPr>
            <b/>
            <sz val="9"/>
            <color indexed="81"/>
            <rFont val="Tahoma"/>
            <family val="2"/>
          </rPr>
          <t>1186341526V:</t>
        </r>
        <r>
          <rPr>
            <sz val="9"/>
            <color indexed="81"/>
            <rFont val="Tahoma"/>
            <family val="2"/>
          </rPr>
          <t xml:space="preserve">
$6 sqft for tile material
$.75 sqft for labor</t>
        </r>
      </text>
    </comment>
    <comment ref="C557" authorId="1" shapeId="0" xr:uid="{00000000-0006-0000-0400-0000C9010000}">
      <text>
        <r>
          <rPr>
            <b/>
            <sz val="9"/>
            <color indexed="81"/>
            <rFont val="Tahoma"/>
            <family val="2"/>
          </rPr>
          <t>1186341526V:</t>
        </r>
        <r>
          <rPr>
            <sz val="9"/>
            <color indexed="81"/>
            <rFont val="Tahoma"/>
            <family val="2"/>
          </rPr>
          <t xml:space="preserve">
- paint cost
- $500 extra stairs cost</t>
        </r>
      </text>
    </comment>
    <comment ref="B559" authorId="0" shapeId="0" xr:uid="{00000000-0006-0000-0400-0000CA010000}">
      <text>
        <r>
          <rPr>
            <b/>
            <sz val="9"/>
            <color indexed="81"/>
            <rFont val="Tahoma"/>
            <family val="2"/>
          </rPr>
          <t>Guy:</t>
        </r>
        <r>
          <rPr>
            <sz val="9"/>
            <color indexed="81"/>
            <rFont val="Tahoma"/>
            <family val="2"/>
          </rPr>
          <t xml:space="preserve">
http://www.gladiatorgarageworks.com/room-packages-and-kits/room-packages/garage/premier-makeover-37-piece-package/[GDRBUNPREMO-NAR]/</t>
        </r>
      </text>
    </comment>
    <comment ref="C559" authorId="1" shapeId="0" xr:uid="{00000000-0006-0000-0400-0000CB010000}">
      <text>
        <r>
          <rPr>
            <b/>
            <sz val="9"/>
            <color indexed="81"/>
            <rFont val="Tahoma"/>
            <family val="2"/>
          </rPr>
          <t>1186341526V:</t>
        </r>
        <r>
          <rPr>
            <sz val="9"/>
            <color indexed="81"/>
            <rFont val="Tahoma"/>
            <family val="2"/>
          </rPr>
          <t xml:space="preserve">
materials - $7630, plus tax, for package
labor - 16 hours of 2 guys at $50 per hour total for install</t>
        </r>
      </text>
    </comment>
    <comment ref="D560" authorId="1" shapeId="0" xr:uid="{00000000-0006-0000-0400-0000CC010000}">
      <text>
        <r>
          <rPr>
            <b/>
            <sz val="9"/>
            <color indexed="81"/>
            <rFont val="Tahoma"/>
            <family val="2"/>
          </rPr>
          <t>1186341526V:</t>
        </r>
        <r>
          <rPr>
            <sz val="9"/>
            <color indexed="81"/>
            <rFont val="Tahoma"/>
            <family val="2"/>
          </rPr>
          <t xml:space="preserve">
50 cents a sqft foot for batt insulation (assumes two walls worth)</t>
        </r>
      </text>
    </comment>
    <comment ref="D561" authorId="1" shapeId="0" xr:uid="{00000000-0006-0000-0400-0000CD010000}">
      <text>
        <r>
          <rPr>
            <b/>
            <sz val="9"/>
            <color indexed="81"/>
            <rFont val="Tahoma"/>
            <family val="2"/>
          </rPr>
          <t>1186341526V:</t>
        </r>
        <r>
          <rPr>
            <sz val="9"/>
            <color indexed="81"/>
            <rFont val="Tahoma"/>
            <family val="2"/>
          </rPr>
          <t xml:space="preserve">
$2 sqft for extra duct work and larger system</t>
        </r>
      </text>
    </comment>
    <comment ref="E571" authorId="0" shapeId="0" xr:uid="{00000000-0006-0000-0400-0000CE010000}">
      <text>
        <r>
          <rPr>
            <b/>
            <sz val="9"/>
            <color indexed="81"/>
            <rFont val="Tahoma"/>
            <family val="2"/>
          </rPr>
          <t>Guy:</t>
        </r>
        <r>
          <rPr>
            <sz val="9"/>
            <color indexed="81"/>
            <rFont val="Tahoma"/>
            <family val="2"/>
          </rPr>
          <t xml:space="preserve">
- adding main area flooring sqft to other optional rooms.  Also adding 30 sqft if a powder room is selected</t>
        </r>
      </text>
    </comment>
    <comment ref="F571" authorId="0" shapeId="0" xr:uid="{00000000-0006-0000-0400-0000CF010000}">
      <text>
        <r>
          <rPr>
            <b/>
            <sz val="9"/>
            <color indexed="81"/>
            <rFont val="Tahoma"/>
            <family val="2"/>
          </rPr>
          <t>Guy:</t>
        </r>
        <r>
          <rPr>
            <sz val="9"/>
            <color indexed="81"/>
            <rFont val="Tahoma"/>
            <family val="2"/>
          </rPr>
          <t xml:space="preserve">
- assume 45% of non-basement area is wood flooring, not including dining/breakfast/powder rooms</t>
        </r>
      </text>
    </comment>
    <comment ref="G573" authorId="1" shapeId="0" xr:uid="{00000000-0006-0000-0400-0000D0010000}">
      <text>
        <r>
          <rPr>
            <b/>
            <sz val="9"/>
            <color indexed="81"/>
            <rFont val="Tahoma"/>
            <family val="2"/>
          </rPr>
          <t>1186341526V:</t>
        </r>
        <r>
          <rPr>
            <sz val="9"/>
            <color indexed="81"/>
            <rFont val="Tahoma"/>
            <family val="2"/>
          </rPr>
          <t xml:space="preserve">
not affected by ceiling height
</t>
        </r>
      </text>
    </comment>
    <comment ref="G576" authorId="1" shapeId="0" xr:uid="{00000000-0006-0000-0400-0000D1010000}">
      <text>
        <r>
          <rPr>
            <b/>
            <sz val="9"/>
            <color indexed="81"/>
            <rFont val="Tahoma"/>
            <family val="2"/>
          </rPr>
          <t>1186341526V:</t>
        </r>
        <r>
          <rPr>
            <sz val="9"/>
            <color indexed="81"/>
            <rFont val="Tahoma"/>
            <family val="2"/>
          </rPr>
          <t xml:space="preserve">
not affected by ceiling height
</t>
        </r>
      </text>
    </comment>
    <comment ref="G579" authorId="1" shapeId="0" xr:uid="{00000000-0006-0000-0400-0000D2010000}">
      <text>
        <r>
          <rPr>
            <b/>
            <sz val="9"/>
            <color indexed="81"/>
            <rFont val="Tahoma"/>
            <family val="2"/>
          </rPr>
          <t>1186341526V:</t>
        </r>
        <r>
          <rPr>
            <sz val="9"/>
            <color indexed="81"/>
            <rFont val="Tahoma"/>
            <family val="2"/>
          </rPr>
          <t xml:space="preserve">
not affected by ceiling height
</t>
        </r>
      </text>
    </comment>
    <comment ref="G582" authorId="1" shapeId="0" xr:uid="{00000000-0006-0000-0400-0000D3010000}">
      <text>
        <r>
          <rPr>
            <b/>
            <sz val="9"/>
            <color indexed="81"/>
            <rFont val="Tahoma"/>
            <family val="2"/>
          </rPr>
          <t>1186341526V:</t>
        </r>
        <r>
          <rPr>
            <sz val="9"/>
            <color indexed="81"/>
            <rFont val="Tahoma"/>
            <family val="2"/>
          </rPr>
          <t xml:space="preserve">
not affected by ceiling height
</t>
        </r>
      </text>
    </comment>
    <comment ref="B587" authorId="1" shapeId="0" xr:uid="{00000000-0006-0000-0400-0000D4010000}">
      <text>
        <r>
          <rPr>
            <b/>
            <sz val="9"/>
            <color indexed="81"/>
            <rFont val="Tahoma"/>
            <family val="2"/>
          </rPr>
          <t>1186341526V:</t>
        </r>
        <r>
          <rPr>
            <sz val="9"/>
            <color indexed="81"/>
            <rFont val="Tahoma"/>
            <family val="2"/>
          </rPr>
          <t xml:space="preserve">
assume sqft of main living area is broken up into main plus additional family/living</t>
        </r>
      </text>
    </comment>
    <comment ref="G589" authorId="0" shapeId="0" xr:uid="{00000000-0006-0000-0400-0000D5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G592" authorId="0" shapeId="0" xr:uid="{00000000-0006-0000-0400-0000D6010000}">
      <text>
        <r>
          <rPr>
            <b/>
            <sz val="9"/>
            <color indexed="81"/>
            <rFont val="Tahoma"/>
            <family val="2"/>
          </rPr>
          <t>Guy:</t>
        </r>
        <r>
          <rPr>
            <sz val="9"/>
            <color indexed="81"/>
            <rFont val="Tahoma"/>
            <family val="2"/>
          </rPr>
          <t xml:space="preserve">
ceiling height doesn't affect flooring</t>
        </r>
      </text>
    </comment>
    <comment ref="C597" authorId="0" shapeId="0" xr:uid="{00000000-0006-0000-0400-0000D7010000}">
      <text>
        <r>
          <rPr>
            <b/>
            <sz val="9"/>
            <color indexed="81"/>
            <rFont val="Tahoma"/>
            <family val="2"/>
          </rPr>
          <t>Guy:</t>
        </r>
        <r>
          <rPr>
            <sz val="9"/>
            <color indexed="81"/>
            <rFont val="Tahoma"/>
            <family val="2"/>
          </rPr>
          <t xml:space="preserve">
$50 for custom paint</t>
        </r>
      </text>
    </comment>
    <comment ref="G597" authorId="0" shapeId="0" xr:uid="{00000000-0006-0000-0400-0000D8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598" authorId="0" shapeId="0" xr:uid="{00000000-0006-0000-0400-0000D9010000}">
      <text>
        <r>
          <rPr>
            <b/>
            <sz val="9"/>
            <color indexed="81"/>
            <rFont val="Tahoma"/>
            <family val="2"/>
          </rPr>
          <t>Guy:</t>
        </r>
        <r>
          <rPr>
            <sz val="9"/>
            <color indexed="81"/>
            <rFont val="Tahoma"/>
            <family val="2"/>
          </rPr>
          <t xml:space="preserve">
nothing for paint, 75 cents a sqft for crown</t>
        </r>
      </text>
    </comment>
    <comment ref="G598" authorId="1" shapeId="0" xr:uid="{00000000-0006-0000-0400-0000DA010000}">
      <text>
        <r>
          <rPr>
            <b/>
            <sz val="9"/>
            <color indexed="81"/>
            <rFont val="Tahoma"/>
            <family val="2"/>
          </rPr>
          <t>1186341526V:</t>
        </r>
        <r>
          <rPr>
            <sz val="9"/>
            <color indexed="81"/>
            <rFont val="Tahoma"/>
            <family val="2"/>
          </rPr>
          <t xml:space="preserve">
-includes ceiling height because installing on higher ladders is more labor</t>
        </r>
      </text>
    </comment>
    <comment ref="G600" authorId="0" shapeId="0" xr:uid="{00000000-0006-0000-0400-0000DC010000}">
      <text>
        <r>
          <rPr>
            <b/>
            <sz val="9"/>
            <color indexed="81"/>
            <rFont val="Tahoma"/>
            <family val="2"/>
          </rPr>
          <t>Guy:</t>
        </r>
        <r>
          <rPr>
            <sz val="9"/>
            <color indexed="81"/>
            <rFont val="Tahoma"/>
            <family val="2"/>
          </rPr>
          <t xml:space="preserve">
ceiling height doesn't affect flooring</t>
        </r>
      </text>
    </comment>
    <comment ref="D605" authorId="0" shapeId="0" xr:uid="{00000000-0006-0000-0400-0000DD010000}">
      <text>
        <r>
          <rPr>
            <b/>
            <sz val="9"/>
            <color indexed="81"/>
            <rFont val="Tahoma"/>
            <family val="2"/>
          </rPr>
          <t>Guy:</t>
        </r>
        <r>
          <rPr>
            <sz val="9"/>
            <color indexed="81"/>
            <rFont val="Tahoma"/>
            <family val="2"/>
          </rPr>
          <t xml:space="preserve">
$11 sqft for feature wall (assume 135 sqft of wall for 1750 sqft basement (minus bathroom/bedroom and utility), so multiply 11 times 135/1750 to get price per sqft of room, which is .9)</t>
        </r>
      </text>
    </comment>
    <comment ref="G605" authorId="1" shapeId="0" xr:uid="{00000000-0006-0000-0400-0000DE010000}">
      <text>
        <r>
          <rPr>
            <b/>
            <sz val="9"/>
            <color indexed="81"/>
            <rFont val="Tahoma"/>
            <family val="2"/>
          </rPr>
          <t>1186341526V:</t>
        </r>
        <r>
          <rPr>
            <sz val="9"/>
            <color indexed="81"/>
            <rFont val="Tahoma"/>
            <family val="2"/>
          </rPr>
          <t xml:space="preserve">
-includes ceiling height because installing on higher ladders is more labor</t>
        </r>
      </text>
    </comment>
    <comment ref="D606" authorId="0" shapeId="0" xr:uid="{00000000-0006-0000-0400-0000DF010000}">
      <text>
        <r>
          <rPr>
            <b/>
            <sz val="9"/>
            <color indexed="81"/>
            <rFont val="Tahoma"/>
            <family val="2"/>
          </rPr>
          <t>Guy:</t>
        </r>
        <r>
          <rPr>
            <sz val="9"/>
            <color indexed="81"/>
            <rFont val="Tahoma"/>
            <family val="2"/>
          </rPr>
          <t xml:space="preserve">
nothing for paint, $3 a sqft for crown (materials, labor, and paint labor)
</t>
        </r>
      </text>
    </comment>
    <comment ref="G606" authorId="1" shapeId="0" xr:uid="{00000000-0006-0000-0400-0000E0010000}">
      <text>
        <r>
          <rPr>
            <b/>
            <sz val="9"/>
            <color indexed="81"/>
            <rFont val="Tahoma"/>
            <family val="2"/>
          </rPr>
          <t>1186341526V:</t>
        </r>
        <r>
          <rPr>
            <sz val="9"/>
            <color indexed="81"/>
            <rFont val="Tahoma"/>
            <family val="2"/>
          </rPr>
          <t xml:space="preserve">
-includes ceiling height because installing on higher ladders is more labor</t>
        </r>
      </text>
    </comment>
    <comment ref="C607" authorId="0" shapeId="0" xr:uid="{00000000-0006-0000-0400-0000E1010000}">
      <text>
        <r>
          <rPr>
            <b/>
            <sz val="9"/>
            <color indexed="81"/>
            <rFont val="Tahoma"/>
            <family val="2"/>
          </rPr>
          <t>Guy:</t>
        </r>
        <r>
          <rPr>
            <sz val="9"/>
            <color indexed="81"/>
            <rFont val="Tahoma"/>
            <family val="2"/>
          </rPr>
          <t xml:space="preserve">
$800 for signature light fixture
</t>
        </r>
      </text>
    </comment>
    <comment ref="D607" authorId="0" shapeId="0" xr:uid="{00000000-0006-0000-0400-0000E2010000}">
      <text>
        <r>
          <rPr>
            <b/>
            <sz val="9"/>
            <color indexed="81"/>
            <rFont val="Tahoma"/>
            <family val="2"/>
          </rPr>
          <t>Guy:</t>
        </r>
        <r>
          <rPr>
            <sz val="9"/>
            <color indexed="81"/>
            <rFont val="Tahoma"/>
            <family val="2"/>
          </rPr>
          <t xml:space="preserve">
$125 a recessed light, 3 times as many lights per sqft than bronze basement, one $300 fan/light per 1000 sqft</t>
        </r>
      </text>
    </comment>
    <comment ref="D608" authorId="0" shapeId="0" xr:uid="{00000000-0006-0000-0400-0000E3010000}">
      <text>
        <r>
          <rPr>
            <b/>
            <sz val="9"/>
            <color indexed="81"/>
            <rFont val="Tahoma"/>
            <family val="2"/>
          </rPr>
          <t xml:space="preserve">Guy:
</t>
        </r>
        <r>
          <rPr>
            <sz val="9"/>
            <color indexed="81"/>
            <rFont val="Tahoma"/>
            <family val="2"/>
          </rPr>
          <t>$7 materals
$2.5 install</t>
        </r>
      </text>
    </comment>
    <comment ref="G608" authorId="0" shapeId="0" xr:uid="{00000000-0006-0000-0400-0000E4010000}">
      <text>
        <r>
          <rPr>
            <b/>
            <sz val="9"/>
            <color indexed="81"/>
            <rFont val="Tahoma"/>
            <family val="2"/>
          </rPr>
          <t>Guy:</t>
        </r>
        <r>
          <rPr>
            <sz val="9"/>
            <color indexed="81"/>
            <rFont val="Tahoma"/>
            <family val="2"/>
          </rPr>
          <t xml:space="preserve">
ceiling height doesn't affect flooring</t>
        </r>
      </text>
    </comment>
    <comment ref="C609" authorId="0" shapeId="0" xr:uid="{00000000-0006-0000-0400-0000E5010000}">
      <text>
        <r>
          <rPr>
            <b/>
            <sz val="9"/>
            <color indexed="81"/>
            <rFont val="Tahoma"/>
            <family val="2"/>
          </rPr>
          <t>Guy:</t>
        </r>
        <r>
          <rPr>
            <sz val="9"/>
            <color indexed="81"/>
            <rFont val="Tahoma"/>
            <family val="2"/>
          </rPr>
          <t xml:space="preserve">
-3000 fireplace installed
- $10 per sqft stone material
- $7 per sqft stone labor
- 6x9 foot of stone wall</t>
        </r>
      </text>
    </comment>
    <comment ref="G609" authorId="1" shapeId="0" xr:uid="{00000000-0006-0000-0400-0000E6010000}">
      <text>
        <r>
          <rPr>
            <b/>
            <sz val="9"/>
            <color indexed="81"/>
            <rFont val="Tahoma"/>
            <family val="2"/>
          </rPr>
          <t>1186341526V:</t>
        </r>
        <r>
          <rPr>
            <sz val="9"/>
            <color indexed="81"/>
            <rFont val="Tahoma"/>
            <family val="2"/>
          </rPr>
          <t xml:space="preserve">
-includes ceiling height because installing on higher ladders is more labor</t>
        </r>
      </text>
    </comment>
    <comment ref="C610" authorId="1" shapeId="0" xr:uid="{00000000-0006-0000-0400-0000E7010000}">
      <text>
        <r>
          <rPr>
            <b/>
            <sz val="9"/>
            <color indexed="81"/>
            <rFont val="Tahoma"/>
            <family val="2"/>
          </rPr>
          <t>1186341526V:</t>
        </r>
        <r>
          <rPr>
            <sz val="9"/>
            <color indexed="81"/>
            <rFont val="Tahoma"/>
            <family val="2"/>
          </rPr>
          <t xml:space="preserve">
- $1000 cabinets
- $1500 countertop
- $800 faucet and ice maker labor
- $1500 fridge
- $1500 ice maker
- $300 cabinet install
- stone wall $7 materials, $7 labor, 10x5 wall
- $600 floating shelves materials/labor
- $150 garbarge disposal
</t>
        </r>
      </text>
    </comment>
    <comment ref="D613" authorId="0" shapeId="0" xr:uid="{00000000-0006-0000-0400-0000E8010000}">
      <text>
        <r>
          <rPr>
            <b/>
            <sz val="9"/>
            <color indexed="81"/>
            <rFont val="Tahoma"/>
            <family val="2"/>
          </rPr>
          <t>Guy:</t>
        </r>
        <r>
          <rPr>
            <sz val="9"/>
            <color indexed="81"/>
            <rFont val="Tahoma"/>
            <family val="2"/>
          </rPr>
          <t xml:space="preserve">
$11 sqft for feature wall (assume 135 sqft of wall for 1750 sqft basement (minus bathroom/bedroom and utility), so multiply 11 times 135/1750 to get price per sqft of room, which is .9)</t>
        </r>
      </text>
    </comment>
    <comment ref="G613" authorId="0" shapeId="0" xr:uid="{00000000-0006-0000-0400-0000E9010000}">
      <text>
        <r>
          <rPr>
            <b/>
            <sz val="9"/>
            <color indexed="81"/>
            <rFont val="Tahoma"/>
            <family val="2"/>
          </rPr>
          <t>Guy:</t>
        </r>
        <r>
          <rPr>
            <sz val="9"/>
            <color indexed="81"/>
            <rFont val="Tahoma"/>
            <family val="2"/>
          </rPr>
          <t xml:space="preserve">
doesn't include floor height change for bronze walls because paint is included in attributes pricing, and baseboard is not affected by floor height</t>
        </r>
      </text>
    </comment>
    <comment ref="D614" authorId="0" shapeId="0" xr:uid="{00000000-0006-0000-0400-0000EA010000}">
      <text>
        <r>
          <rPr>
            <b/>
            <sz val="9"/>
            <color indexed="81"/>
            <rFont val="Tahoma"/>
            <family val="2"/>
          </rPr>
          <t>Guy:</t>
        </r>
        <r>
          <rPr>
            <sz val="9"/>
            <color indexed="81"/>
            <rFont val="Tahoma"/>
            <family val="2"/>
          </rPr>
          <t xml:space="preserve">
$5 labor (install, sand/poly)
$3 materials</t>
        </r>
      </text>
    </comment>
    <comment ref="G614" authorId="1" shapeId="0" xr:uid="{00000000-0006-0000-0400-0000EB010000}">
      <text>
        <r>
          <rPr>
            <b/>
            <sz val="9"/>
            <color indexed="81"/>
            <rFont val="Tahoma"/>
            <family val="2"/>
          </rPr>
          <t>1186341526V:</t>
        </r>
        <r>
          <rPr>
            <sz val="9"/>
            <color indexed="81"/>
            <rFont val="Tahoma"/>
            <family val="2"/>
          </rPr>
          <t xml:space="preserve">
-includes ceiling height because installing on higher ladders is more labor</t>
        </r>
      </text>
    </comment>
    <comment ref="C615" authorId="0" shapeId="0" xr:uid="{00000000-0006-0000-0400-0000EC010000}">
      <text>
        <r>
          <rPr>
            <b/>
            <sz val="9"/>
            <color indexed="81"/>
            <rFont val="Tahoma"/>
            <family val="2"/>
          </rPr>
          <t>Guy:</t>
        </r>
        <r>
          <rPr>
            <sz val="9"/>
            <color indexed="81"/>
            <rFont val="Tahoma"/>
            <family val="2"/>
          </rPr>
          <t xml:space="preserve">
$1500 for signature light fixture, 
</t>
        </r>
      </text>
    </comment>
    <comment ref="D615" authorId="0" shapeId="0" xr:uid="{00000000-0006-0000-0400-0000ED010000}">
      <text>
        <r>
          <rPr>
            <b/>
            <sz val="9"/>
            <color indexed="81"/>
            <rFont val="Tahoma"/>
            <family val="2"/>
          </rPr>
          <t>Guy:</t>
        </r>
        <r>
          <rPr>
            <sz val="9"/>
            <color indexed="81"/>
            <rFont val="Tahoma"/>
            <family val="2"/>
          </rPr>
          <t xml:space="preserve">
$125 a recessed light, 3 times as many lights per sqft than bronze basement, one $600 fan/light per 1000 sqft</t>
        </r>
      </text>
    </comment>
    <comment ref="G616" authorId="0" shapeId="0" xr:uid="{00000000-0006-0000-0400-0000EF010000}">
      <text>
        <r>
          <rPr>
            <b/>
            <sz val="9"/>
            <color indexed="81"/>
            <rFont val="Tahoma"/>
            <family val="2"/>
          </rPr>
          <t>Guy:</t>
        </r>
        <r>
          <rPr>
            <sz val="9"/>
            <color indexed="81"/>
            <rFont val="Tahoma"/>
            <family val="2"/>
          </rPr>
          <t xml:space="preserve">
ceiling height doesn't affect flooring</t>
        </r>
      </text>
    </comment>
    <comment ref="C617" authorId="0" shapeId="0" xr:uid="{00000000-0006-0000-0400-0000F0010000}">
      <text>
        <r>
          <rPr>
            <b/>
            <sz val="9"/>
            <color indexed="81"/>
            <rFont val="Tahoma"/>
            <family val="2"/>
          </rPr>
          <t>Guy:</t>
        </r>
        <r>
          <rPr>
            <sz val="9"/>
            <color indexed="81"/>
            <rFont val="Tahoma"/>
            <family val="2"/>
          </rPr>
          <t xml:space="preserve">
-5500 fireplace installed
- $20 per sqft stone material
- $8 per sqft stone labor
- 6x9 foot of stone wall</t>
        </r>
      </text>
    </comment>
    <comment ref="C618" authorId="1" shapeId="0" xr:uid="{00000000-0006-0000-0400-0000F1010000}">
      <text>
        <r>
          <rPr>
            <b/>
            <sz val="9"/>
            <color indexed="81"/>
            <rFont val="Tahoma"/>
            <family val="2"/>
          </rPr>
          <t>1186341526V:</t>
        </r>
        <r>
          <rPr>
            <sz val="9"/>
            <color indexed="81"/>
            <rFont val="Tahoma"/>
            <family val="2"/>
          </rPr>
          <t xml:space="preserve">
- $2000 cabinets
- $2500 countertop
- $800 faucet and ice maker labor
- $2500 fridge
- $2500 ice maker
- $300 cabinet install
- stone wall $15 materials, $7 labor, 10x5 wall
- $900 floating shelves materials/labor
- $150 garbarge disposal
- $500 shelve lighting</t>
        </r>
      </text>
    </comment>
    <comment ref="B623" authorId="1" shapeId="0" xr:uid="{00000000-0006-0000-0400-0000F2010000}">
      <text>
        <r>
          <rPr>
            <b/>
            <sz val="9"/>
            <color indexed="81"/>
            <rFont val="Tahoma"/>
            <family val="2"/>
          </rPr>
          <t>1186341526V:</t>
        </r>
        <r>
          <rPr>
            <sz val="9"/>
            <color indexed="81"/>
            <rFont val="Tahoma"/>
            <family val="2"/>
          </rPr>
          <t xml:space="preserve">
assume sqft of main living area is broken up into main plus additional family/living</t>
        </r>
      </text>
    </comment>
    <comment ref="A626" authorId="0" shapeId="0" xr:uid="{00000000-0006-0000-0400-0000F3010000}">
      <text>
        <r>
          <rPr>
            <b/>
            <sz val="9"/>
            <color indexed="81"/>
            <rFont val="Tahoma"/>
            <family val="2"/>
          </rPr>
          <t>Guy:</t>
        </r>
        <r>
          <rPr>
            <sz val="9"/>
            <color indexed="81"/>
            <rFont val="Tahoma"/>
            <family val="2"/>
          </rPr>
          <t xml:space="preserve">
insulation notes from Bert
60 cents wall sqft unfinished basement
$1 wall sqft fiinished basement
$1.50 sqft unfinished with framing
$1.5 sqft ceiling loft
$.75 sqft wall
$1 blow-in</t>
        </r>
      </text>
    </comment>
    <comment ref="D626" authorId="0" shapeId="0" xr:uid="{00000000-0006-0000-0400-0000F4010000}">
      <text>
        <r>
          <rPr>
            <b/>
            <sz val="9"/>
            <color indexed="81"/>
            <rFont val="Tahoma"/>
            <family val="2"/>
          </rPr>
          <t>Guy:</t>
        </r>
        <r>
          <rPr>
            <sz val="9"/>
            <color indexed="81"/>
            <rFont val="Tahoma"/>
            <family val="2"/>
          </rPr>
          <t xml:space="preserve">
assume exterior walls and structural walls are framed at $1.50 a sqft, and insulation is mininum per sqft pullled from inputs</t>
        </r>
      </text>
    </comment>
    <comment ref="D633" authorId="0" shapeId="0" xr:uid="{00000000-0006-0000-0400-0000F5010000}">
      <text>
        <r>
          <rPr>
            <b/>
            <sz val="9"/>
            <color indexed="81"/>
            <rFont val="Tahoma"/>
            <family val="2"/>
          </rPr>
          <t>Guy:</t>
        </r>
        <r>
          <rPr>
            <sz val="9"/>
            <color indexed="81"/>
            <rFont val="Tahoma"/>
            <family val="2"/>
          </rPr>
          <t xml:space="preserve">
assume exterior walls and structural walls are framed at $1.50 a sqft, and insulation costs depend on energey efficiency package selected</t>
        </r>
      </text>
    </comment>
    <comment ref="D636" authorId="0" shapeId="0" xr:uid="{00000000-0006-0000-0400-0000F6010000}">
      <text>
        <r>
          <rPr>
            <b/>
            <sz val="9"/>
            <color indexed="81"/>
            <rFont val="Tahoma"/>
            <family val="2"/>
          </rPr>
          <t>Guy:</t>
        </r>
        <r>
          <rPr>
            <sz val="9"/>
            <color indexed="81"/>
            <rFont val="Tahoma"/>
            <family val="2"/>
          </rPr>
          <t xml:space="preserve">
assuming $.75 per sqft for increasing size of AC unit and furnace</t>
        </r>
      </text>
    </comment>
    <comment ref="D640" authorId="0" shapeId="0" xr:uid="{00000000-0006-0000-0400-0000F7010000}">
      <text>
        <r>
          <rPr>
            <b/>
            <sz val="9"/>
            <color indexed="81"/>
            <rFont val="Tahoma"/>
            <family val="2"/>
          </rPr>
          <t>Guy:</t>
        </r>
        <r>
          <rPr>
            <sz val="9"/>
            <color indexed="81"/>
            <rFont val="Tahoma"/>
            <family val="2"/>
          </rPr>
          <t xml:space="preserve">
assume walls are framed at $2.25 a sqft, and insulation costs depend on energey efficiency package selected</t>
        </r>
      </text>
    </comment>
    <comment ref="C641" authorId="0" shapeId="0" xr:uid="{00000000-0006-0000-0400-0000F8010000}">
      <text>
        <r>
          <rPr>
            <b/>
            <sz val="9"/>
            <color indexed="81"/>
            <rFont val="Tahoma"/>
            <family val="2"/>
          </rPr>
          <t>Guy:</t>
        </r>
        <r>
          <rPr>
            <sz val="9"/>
            <color indexed="81"/>
            <rFont val="Tahoma"/>
            <family val="2"/>
          </rPr>
          <t xml:space="preserve">
$700 per fixture</t>
        </r>
      </text>
    </comment>
    <comment ref="D643" authorId="0" shapeId="0" xr:uid="{00000000-0006-0000-0400-0000F9010000}">
      <text>
        <r>
          <rPr>
            <b/>
            <sz val="9"/>
            <color indexed="81"/>
            <rFont val="Tahoma"/>
            <family val="2"/>
          </rPr>
          <t>Guy:</t>
        </r>
        <r>
          <rPr>
            <sz val="9"/>
            <color indexed="81"/>
            <rFont val="Tahoma"/>
            <family val="2"/>
          </rPr>
          <t xml:space="preserve">
-assuming $.75 per sqft for increasing size of AC unit and furnace 
- if single story or silver+ HVAC package, then ducts already run and assume costs are vents and a few small terminal flex runs for speicific areas of basement.  assume that is 20 cents
- if two story and bronze HVAC package, then seperate ducts must be run, assume $.75 per sqft to run the ducts</t>
        </r>
      </text>
    </comment>
    <comment ref="D647" authorId="0" shapeId="0" xr:uid="{00000000-0006-0000-0400-0000FA010000}">
      <text>
        <r>
          <rPr>
            <b/>
            <sz val="9"/>
            <color indexed="81"/>
            <rFont val="Tahoma"/>
            <family val="2"/>
          </rPr>
          <t>Guy:</t>
        </r>
        <r>
          <rPr>
            <sz val="9"/>
            <color indexed="81"/>
            <rFont val="Tahoma"/>
            <family val="2"/>
          </rPr>
          <t xml:space="preserve">
assume walls are framed at $2.25 a sqft, and insulation costs depend on energey efficiency package selected</t>
        </r>
      </text>
    </comment>
    <comment ref="C648" authorId="0" shapeId="0" xr:uid="{00000000-0006-0000-0400-0000FB010000}">
      <text>
        <r>
          <rPr>
            <b/>
            <sz val="9"/>
            <color indexed="81"/>
            <rFont val="Tahoma"/>
            <family val="2"/>
          </rPr>
          <t>Guy:</t>
        </r>
        <r>
          <rPr>
            <sz val="9"/>
            <color indexed="81"/>
            <rFont val="Tahoma"/>
            <family val="2"/>
          </rPr>
          <t xml:space="preserve">
$700 per fixture, only $200 extra for 2nd sink</t>
        </r>
      </text>
    </comment>
    <comment ref="C649" authorId="0" shapeId="0" xr:uid="{00000000-0006-0000-0400-0000FC010000}">
      <text>
        <r>
          <rPr>
            <b/>
            <sz val="9"/>
            <color indexed="81"/>
            <rFont val="Tahoma"/>
            <family val="2"/>
          </rPr>
          <t>Guy:</t>
        </r>
        <r>
          <rPr>
            <sz val="9"/>
            <color indexed="81"/>
            <rFont val="Tahoma"/>
            <family val="2"/>
          </rPr>
          <t xml:space="preserve">
$700 for sink, $300 for dishwasher and ice maker</t>
        </r>
      </text>
    </comment>
    <comment ref="C650" authorId="0" shapeId="0" xr:uid="{00000000-0006-0000-0400-0000FD010000}">
      <text>
        <r>
          <rPr>
            <b/>
            <sz val="9"/>
            <color indexed="81"/>
            <rFont val="Tahoma"/>
            <family val="2"/>
          </rPr>
          <t>Guy:</t>
        </r>
        <r>
          <rPr>
            <sz val="9"/>
            <color indexed="81"/>
            <rFont val="Tahoma"/>
            <family val="2"/>
          </rPr>
          <t xml:space="preserve">
$300 to add damper and thermostat for basement zone</t>
        </r>
      </text>
    </comment>
    <comment ref="D650" authorId="0" shapeId="0" xr:uid="{00000000-0006-0000-0400-0000FE010000}">
      <text>
        <r>
          <rPr>
            <b/>
            <sz val="9"/>
            <color indexed="81"/>
            <rFont val="Tahoma"/>
            <family val="2"/>
          </rPr>
          <t>Guy:</t>
        </r>
        <r>
          <rPr>
            <sz val="9"/>
            <color indexed="81"/>
            <rFont val="Tahoma"/>
            <family val="2"/>
          </rPr>
          <t xml:space="preserve">
- assuming $.75 per sqft for increasing size of AC unit and furnace 
- .75 per sqft to run ducts (must run separate ducts because of separate zone)</t>
        </r>
      </text>
    </comment>
    <comment ref="E692" authorId="0" shapeId="0" xr:uid="{00000000-0006-0000-0400-0000FF010000}">
      <text>
        <r>
          <rPr>
            <b/>
            <sz val="9"/>
            <color indexed="81"/>
            <rFont val="Tahoma"/>
            <family val="2"/>
          </rPr>
          <t>Guy:</t>
        </r>
        <r>
          <rPr>
            <sz val="9"/>
            <color indexed="81"/>
            <rFont val="Tahoma"/>
            <family val="2"/>
          </rPr>
          <t xml:space="preserve">
- first check to see if basement and/or loft are included and increase windows based on answer (10% increase with loft, 25% with basement, 35% with both)
- multiply the multiplier (1, 1.25, or 1.35) by number of windows for the selected sqft based on input of windows per sqft range
- add two windows if garage entry is other than front
</t>
        </r>
      </text>
    </comment>
    <comment ref="E694" authorId="0" shapeId="0" xr:uid="{00000000-0006-0000-0400-000000020000}">
      <text>
        <r>
          <rPr>
            <b/>
            <sz val="9"/>
            <color indexed="81"/>
            <rFont val="Tahoma"/>
            <family val="2"/>
          </rPr>
          <t>Guy:</t>
        </r>
        <r>
          <rPr>
            <sz val="9"/>
            <color indexed="81"/>
            <rFont val="Tahoma"/>
            <family val="2"/>
          </rPr>
          <t xml:space="preserve">
floor height multiplier is weighted 50% by 1st floor, 30% by 2nd floor, and 20% by basement</t>
        </r>
      </text>
    </comment>
    <comment ref="G714" authorId="1" shapeId="0" xr:uid="{00000000-0006-0000-0400-000001020000}">
      <text>
        <r>
          <rPr>
            <b/>
            <sz val="9"/>
            <color indexed="81"/>
            <rFont val="Tahoma"/>
            <family val="2"/>
          </rPr>
          <t>1186341526V:</t>
        </r>
        <r>
          <rPr>
            <sz val="9"/>
            <color indexed="81"/>
            <rFont val="Tahoma"/>
            <family val="2"/>
          </rPr>
          <t xml:space="preserve">
- assumes 1 entry door per bedroom plus a door for a closet
- assumes 1 entry door per bathroom
- assumes doors for rooms that don't include a special door under the package selection
- no door for office because already included in packaage, but additional door for office closet)
- assumes two for loft
- assumes doors (number based on number of finished floors) for elevator shaft when elevator shaft is bronze package (just shaft when bronze vs. actual elevator when silver or above).  Above bronze elevator package means the doors will be on the elevator.
- main floor -coat closet
- any level - utility room, laundry, linen
- if 2nd floor and/or basement, door under stairs
- additional door for flex room in basement
- add 2 doors as a catch-alll and one door per 1k total sqft above 2k
- add one door from garage to house (if garage is checked)
</t>
        </r>
      </text>
    </comment>
    <comment ref="D719" authorId="1" shapeId="0" xr:uid="{00000000-0006-0000-0400-000002020000}">
      <text>
        <r>
          <rPr>
            <b/>
            <sz val="9"/>
            <color indexed="81"/>
            <rFont val="Tahoma"/>
            <family val="2"/>
          </rPr>
          <t>1186341526V:</t>
        </r>
        <r>
          <rPr>
            <sz val="9"/>
            <color indexed="81"/>
            <rFont val="Tahoma"/>
            <family val="2"/>
          </rPr>
          <t xml:space="preserve">
$25 install
$90 door
$15 paint</t>
        </r>
      </text>
    </comment>
    <comment ref="D722" authorId="1" shapeId="0" xr:uid="{00000000-0006-0000-0400-000003020000}">
      <text>
        <r>
          <rPr>
            <b/>
            <sz val="9"/>
            <color indexed="81"/>
            <rFont val="Tahoma"/>
            <family val="2"/>
          </rPr>
          <t>1186341526V:</t>
        </r>
        <r>
          <rPr>
            <sz val="9"/>
            <color indexed="81"/>
            <rFont val="Tahoma"/>
            <family val="2"/>
          </rPr>
          <t xml:space="preserve">
break down floor height multiplier by number of doors expected per floor</t>
        </r>
      </text>
    </comment>
    <comment ref="D724" authorId="1" shapeId="0" xr:uid="{00000000-0006-0000-0400-000004020000}">
      <text>
        <r>
          <rPr>
            <b/>
            <sz val="9"/>
            <color indexed="81"/>
            <rFont val="Tahoma"/>
            <family val="2"/>
          </rPr>
          <t>1186341526V:</t>
        </r>
        <r>
          <rPr>
            <sz val="9"/>
            <color indexed="81"/>
            <rFont val="Tahoma"/>
            <family val="2"/>
          </rPr>
          <t xml:space="preserve">
$35 install (higher for solid core)
$165 door (155 for singles, 500 for master double, but average is 165)
$15 paint</t>
        </r>
      </text>
    </comment>
    <comment ref="D729" authorId="1" shapeId="0" xr:uid="{00000000-0006-0000-0400-000005020000}">
      <text>
        <r>
          <rPr>
            <b/>
            <sz val="9"/>
            <color indexed="81"/>
            <rFont val="Tahoma"/>
            <family val="2"/>
          </rPr>
          <t>1186341526V:</t>
        </r>
        <r>
          <rPr>
            <sz val="9"/>
            <color indexed="81"/>
            <rFont val="Tahoma"/>
            <family val="2"/>
          </rPr>
          <t xml:space="preserve">
$35 install (higher for solid core)
$340 door (300 for singles, 600 for per double, but average is 320)
$15 paint</t>
        </r>
      </text>
    </comment>
    <comment ref="D734" authorId="1" shapeId="0" xr:uid="{00000000-0006-0000-0400-000006020000}">
      <text>
        <r>
          <rPr>
            <b/>
            <sz val="9"/>
            <color indexed="81"/>
            <rFont val="Tahoma"/>
            <family val="2"/>
          </rPr>
          <t>1186341526V:</t>
        </r>
        <r>
          <rPr>
            <sz val="9"/>
            <color indexed="81"/>
            <rFont val="Tahoma"/>
            <family val="2"/>
          </rPr>
          <t xml:space="preserve">
$100 install
$1500 door (1300 for singles, 2000 for doubles, but average is 1500)
$100 finish</t>
        </r>
      </text>
    </comment>
    <comment ref="G738" authorId="0" shapeId="0" xr:uid="{00000000-0006-0000-0400-000007020000}">
      <text>
        <r>
          <rPr>
            <b/>
            <sz val="9"/>
            <color indexed="81"/>
            <rFont val="Tahoma"/>
            <family val="2"/>
          </rPr>
          <t>Guy:</t>
        </r>
        <r>
          <rPr>
            <sz val="9"/>
            <color indexed="81"/>
            <rFont val="Tahoma"/>
            <family val="2"/>
          </rPr>
          <t xml:space="preserve">
loft doesn't have ceiling height change option</t>
        </r>
      </text>
    </comment>
    <comment ref="A739" authorId="0" shapeId="0" xr:uid="{00000000-0006-0000-0400-000008020000}">
      <text>
        <r>
          <rPr>
            <b/>
            <sz val="9"/>
            <color indexed="81"/>
            <rFont val="Tahoma"/>
            <family val="2"/>
          </rPr>
          <t>Guy:</t>
        </r>
        <r>
          <rPr>
            <sz val="9"/>
            <color indexed="81"/>
            <rFont val="Tahoma"/>
            <family val="2"/>
          </rPr>
          <t xml:space="preserve">
- basic addition costs such as trusses, stairs, studs, drywall, HVAC, windows, and paint are included in the attribute costs
</t>
        </r>
      </text>
    </comment>
    <comment ref="B739" authorId="1" shapeId="0" xr:uid="{00000000-0006-0000-0400-000009020000}">
      <text>
        <r>
          <rPr>
            <b/>
            <sz val="9"/>
            <color indexed="81"/>
            <rFont val="Tahoma"/>
            <family val="2"/>
          </rPr>
          <t>1186341526V:</t>
        </r>
        <r>
          <rPr>
            <sz val="9"/>
            <color indexed="81"/>
            <rFont val="Tahoma"/>
            <family val="2"/>
          </rPr>
          <t xml:space="preserve">
assume loft is open area plus a bedroom with a closet.  Bathroom and fireplace are optional in the packages</t>
        </r>
      </text>
    </comment>
    <comment ref="F740" authorId="0" shapeId="0" xr:uid="{00000000-0006-0000-0400-00000A020000}">
      <text>
        <r>
          <rPr>
            <b/>
            <sz val="9"/>
            <color indexed="81"/>
            <rFont val="Tahoma"/>
            <family val="2"/>
          </rPr>
          <t>Guy:</t>
        </r>
        <r>
          <rPr>
            <sz val="9"/>
            <color indexed="81"/>
            <rFont val="Tahoma"/>
            <family val="2"/>
          </rPr>
          <t xml:space="preserve">
loft space is assumed to be 25% of the 2nd floor for 2 story home, or 25% of the 1st floor for a single story home</t>
        </r>
      </text>
    </comment>
    <comment ref="C754" authorId="0" shapeId="0" xr:uid="{00000000-0006-0000-0400-00000B020000}">
      <text>
        <r>
          <rPr>
            <b/>
            <sz val="9"/>
            <color indexed="81"/>
            <rFont val="Tahoma"/>
            <family val="2"/>
          </rPr>
          <t>Guy:</t>
        </r>
        <r>
          <rPr>
            <sz val="9"/>
            <color indexed="81"/>
            <rFont val="Tahoma"/>
            <family val="2"/>
          </rPr>
          <t xml:space="preserve">
- silver bathroom plus $1000 for plumbing</t>
        </r>
      </text>
    </comment>
    <comment ref="D758" authorId="0" shapeId="0" xr:uid="{00000000-0006-0000-0400-00000C020000}">
      <text>
        <r>
          <rPr>
            <b/>
            <sz val="9"/>
            <color indexed="81"/>
            <rFont val="Tahoma"/>
            <family val="2"/>
          </rPr>
          <t>Guy:</t>
        </r>
        <r>
          <rPr>
            <sz val="9"/>
            <color indexed="81"/>
            <rFont val="Tahoma"/>
            <family val="2"/>
          </rPr>
          <t xml:space="preserve">
sqft cost for wood</t>
        </r>
      </text>
    </comment>
    <comment ref="C759" authorId="0" shapeId="0" xr:uid="{00000000-0006-0000-0400-00000D020000}">
      <text>
        <r>
          <rPr>
            <b/>
            <sz val="9"/>
            <color indexed="81"/>
            <rFont val="Tahoma"/>
            <family val="2"/>
          </rPr>
          <t>Guy:</t>
        </r>
        <r>
          <rPr>
            <sz val="9"/>
            <color indexed="81"/>
            <rFont val="Tahoma"/>
            <family val="2"/>
          </rPr>
          <t xml:space="preserve">
for center light/fan
</t>
        </r>
      </text>
    </comment>
    <comment ref="D759" authorId="0" shapeId="0" xr:uid="{00000000-0006-0000-0400-00000E020000}">
      <text>
        <r>
          <rPr>
            <b/>
            <sz val="9"/>
            <color indexed="81"/>
            <rFont val="Tahoma"/>
            <family val="2"/>
          </rPr>
          <t>Guy:</t>
        </r>
        <r>
          <rPr>
            <sz val="9"/>
            <color indexed="81"/>
            <rFont val="Tahoma"/>
            <family val="2"/>
          </rPr>
          <t xml:space="preserve">
$125 per recessed light at .011 per sqft (11 lights per 1,000 sqft)</t>
        </r>
      </text>
    </comment>
    <comment ref="C762" authorId="0" shapeId="0" xr:uid="{00000000-0006-0000-0400-00000F020000}">
      <text>
        <r>
          <rPr>
            <b/>
            <sz val="9"/>
            <color indexed="81"/>
            <rFont val="Tahoma"/>
            <family val="2"/>
          </rPr>
          <t>Guy:</t>
        </r>
        <r>
          <rPr>
            <sz val="9"/>
            <color indexed="81"/>
            <rFont val="Tahoma"/>
            <family val="2"/>
          </rPr>
          <t xml:space="preserve">
- gold bathroom plus $1000 for plumbing</t>
        </r>
      </text>
    </comment>
    <comment ref="C765" authorId="0" shapeId="0" xr:uid="{00000000-0006-0000-0400-000010020000}">
      <text>
        <r>
          <rPr>
            <b/>
            <sz val="9"/>
            <color indexed="81"/>
            <rFont val="Tahoma"/>
            <family val="2"/>
          </rPr>
          <t>Guy:</t>
        </r>
        <r>
          <rPr>
            <sz val="9"/>
            <color indexed="81"/>
            <rFont val="Tahoma"/>
            <family val="2"/>
          </rPr>
          <t xml:space="preserve">
feature wall plust built-ins
</t>
        </r>
      </text>
    </comment>
    <comment ref="D765" authorId="0" shapeId="0" xr:uid="{00000000-0006-0000-0400-000011020000}">
      <text>
        <r>
          <rPr>
            <b/>
            <sz val="9"/>
            <color indexed="81"/>
            <rFont val="Tahoma"/>
            <family val="2"/>
          </rPr>
          <t>Guy:</t>
        </r>
        <r>
          <rPr>
            <sz val="9"/>
            <color indexed="81"/>
            <rFont val="Tahoma"/>
            <family val="2"/>
          </rPr>
          <t xml:space="preserve">
- assuming 0-700 sqft loft has 15' wide feature wall
- assuming largest lot (2,100) will have 20' wide feature wall.  Between 700-2100 the wall increases linear between 15-20 wide
</t>
        </r>
      </text>
    </comment>
    <comment ref="C766" authorId="0" shapeId="0" xr:uid="{00000000-0006-0000-0400-000012020000}">
      <text>
        <r>
          <rPr>
            <b/>
            <sz val="9"/>
            <color indexed="81"/>
            <rFont val="Tahoma"/>
            <family val="2"/>
          </rPr>
          <t>Guy:</t>
        </r>
        <r>
          <rPr>
            <sz val="9"/>
            <color indexed="81"/>
            <rFont val="Tahoma"/>
            <family val="2"/>
          </rPr>
          <t xml:space="preserve">
$400 for extra truss and drywall costs for trayed ceiling</t>
        </r>
      </text>
    </comment>
    <comment ref="D766" authorId="0" shapeId="0" xr:uid="{00000000-0006-0000-0400-000013020000}">
      <text>
        <r>
          <rPr>
            <b/>
            <sz val="9"/>
            <color indexed="81"/>
            <rFont val="Tahoma"/>
            <family val="2"/>
          </rPr>
          <t>Guy:</t>
        </r>
        <r>
          <rPr>
            <sz val="9"/>
            <color indexed="81"/>
            <rFont val="Tahoma"/>
            <family val="2"/>
          </rPr>
          <t xml:space="preserve">
sqft cost for wood</t>
        </r>
      </text>
    </comment>
    <comment ref="C767" authorId="0" shapeId="0" xr:uid="{00000000-0006-0000-0400-000014020000}">
      <text>
        <r>
          <rPr>
            <b/>
            <sz val="9"/>
            <color indexed="81"/>
            <rFont val="Tahoma"/>
            <family val="2"/>
          </rPr>
          <t>Guy:</t>
        </r>
        <r>
          <rPr>
            <sz val="9"/>
            <color indexed="81"/>
            <rFont val="Tahoma"/>
            <family val="2"/>
          </rPr>
          <t xml:space="preserve">
for center light/fan
</t>
        </r>
      </text>
    </comment>
    <comment ref="D767" authorId="0" shapeId="0" xr:uid="{00000000-0006-0000-0400-000015020000}">
      <text>
        <r>
          <rPr>
            <b/>
            <sz val="9"/>
            <color indexed="81"/>
            <rFont val="Tahoma"/>
            <family val="2"/>
          </rPr>
          <t>Guy:</t>
        </r>
        <r>
          <rPr>
            <sz val="9"/>
            <color indexed="81"/>
            <rFont val="Tahoma"/>
            <family val="2"/>
          </rPr>
          <t xml:space="preserve">
$125 per recessed light at .011 per sqft (11 lights per 1,000 sqft)</t>
        </r>
      </text>
    </comment>
    <comment ref="C769" authorId="0" shapeId="0" xr:uid="{00000000-0006-0000-0400-000017020000}">
      <text>
        <r>
          <rPr>
            <b/>
            <sz val="9"/>
            <color indexed="81"/>
            <rFont val="Tahoma"/>
            <family val="2"/>
          </rPr>
          <t>Guy:</t>
        </r>
        <r>
          <rPr>
            <sz val="9"/>
            <color indexed="81"/>
            <rFont val="Tahoma"/>
            <family val="2"/>
          </rPr>
          <t xml:space="preserve">
-5500 fireplace installed
- $10 per sqft stone material
- $7 per sqft stone labor
- 6x9 foot of stone wall</t>
        </r>
      </text>
    </comment>
    <comment ref="C770" authorId="0" shapeId="0" xr:uid="{00000000-0006-0000-0400-000018020000}">
      <text>
        <r>
          <rPr>
            <b/>
            <sz val="9"/>
            <color indexed="81"/>
            <rFont val="Tahoma"/>
            <family val="2"/>
          </rPr>
          <t>Guy:</t>
        </r>
        <r>
          <rPr>
            <sz val="9"/>
            <color indexed="81"/>
            <rFont val="Tahoma"/>
            <family val="2"/>
          </rPr>
          <t xml:space="preserve">
- platinum bathroom plus $1000 for plumbing</t>
        </r>
      </text>
    </comment>
    <comment ref="B774" authorId="3" shapeId="0" xr:uid="{ABF69760-B123-4BCB-86A8-9B8B784BA0E2}">
      <text>
        <t>[Threaded comment]
Your version of Excel allows you to read this threaded comment; however, any edits to it will get removed if the file is opened in a newer version of Excel. Learn more: https://go.microsoft.com/fwlink/?linkid=870924
Comment:
    for patio, need to add costs for concrete slab below stone.  also need to add costs of stairs/railing to get down to patio.  for patio, need to output budget/allowance for concerte, stone, mason labor/materials, framing materials for stairs/landing, decking material for stairs/landing, railing materials for stairs/railing, and framing labor</t>
      </text>
    </comment>
    <comment ref="B775" authorId="0" shapeId="0" xr:uid="{00000000-0006-0000-0400-000019020000}">
      <text>
        <r>
          <rPr>
            <b/>
            <sz val="9"/>
            <color indexed="81"/>
            <rFont val="Tahoma"/>
            <family val="2"/>
          </rPr>
          <t>Guy:</t>
        </r>
        <r>
          <rPr>
            <sz val="9"/>
            <color indexed="81"/>
            <rFont val="Tahoma"/>
            <family val="2"/>
          </rPr>
          <t xml:space="preserve">
- assumes that patios are at ground level
- assumes decks have railings</t>
        </r>
      </text>
    </comment>
    <comment ref="C777" authorId="0" shapeId="0" xr:uid="{00000000-0006-0000-0400-00001A020000}">
      <text>
        <r>
          <rPr>
            <b/>
            <sz val="9"/>
            <color indexed="81"/>
            <rFont val="Tahoma"/>
            <family val="2"/>
          </rPr>
          <t>Guy:</t>
        </r>
        <r>
          <rPr>
            <sz val="9"/>
            <color indexed="81"/>
            <rFont val="Tahoma"/>
            <family val="2"/>
          </rPr>
          <t xml:space="preserve">
- assune about $11.5 a sqft for all decking materials (framiing, decking, pvc, concrete, etc.)
- don't have railing linear foot yet, assuming $1000 total for now</t>
        </r>
      </text>
    </comment>
    <comment ref="C778" authorId="0" shapeId="0" xr:uid="{00000000-0006-0000-0400-00001B020000}">
      <text>
        <r>
          <rPr>
            <b/>
            <sz val="9"/>
            <color indexed="81"/>
            <rFont val="Tahoma"/>
            <family val="2"/>
          </rPr>
          <t>Guy:</t>
        </r>
        <r>
          <rPr>
            <sz val="9"/>
            <color indexed="81"/>
            <rFont val="Tahoma"/>
            <family val="2"/>
          </rPr>
          <t xml:space="preserve">
$55 an hour for two carpenters, 30 hours</t>
        </r>
      </text>
    </comment>
    <comment ref="F781" authorId="0" shapeId="0" xr:uid="{00000000-0006-0000-0400-00001C020000}">
      <text>
        <r>
          <rPr>
            <b/>
            <sz val="9"/>
            <color indexed="81"/>
            <rFont val="Tahoma"/>
            <family val="2"/>
          </rPr>
          <t>Guy:</t>
        </r>
        <r>
          <rPr>
            <sz val="9"/>
            <color indexed="81"/>
            <rFont val="Tahoma"/>
            <family val="2"/>
          </rPr>
          <t xml:space="preserve">
= only totaling the higher cost between patio and deck</t>
        </r>
      </text>
    </comment>
    <comment ref="G781" authorId="0" shapeId="0" xr:uid="{00000000-0006-0000-0400-00001D020000}">
      <text>
        <r>
          <rPr>
            <b/>
            <sz val="9"/>
            <color indexed="81"/>
            <rFont val="Tahoma"/>
            <family val="2"/>
          </rPr>
          <t>Guy:</t>
        </r>
        <r>
          <rPr>
            <sz val="9"/>
            <color indexed="81"/>
            <rFont val="Tahoma"/>
            <family val="2"/>
          </rPr>
          <t xml:space="preserve">
= only totaling the higher cost between patio and deck</t>
        </r>
      </text>
    </comment>
    <comment ref="C783" authorId="0" shapeId="0" xr:uid="{00000000-0006-0000-0400-00001E020000}">
      <text>
        <r>
          <rPr>
            <b/>
            <sz val="9"/>
            <color indexed="81"/>
            <rFont val="Tahoma"/>
            <family val="2"/>
          </rPr>
          <t>Guy:</t>
        </r>
        <r>
          <rPr>
            <sz val="9"/>
            <color indexed="81"/>
            <rFont val="Tahoma"/>
            <family val="2"/>
          </rPr>
          <t xml:space="preserve">
- assume about $15 a sqft for alll decking materials (not including stairs)
- assumes $500 for stair materials (includes concrete framing material)
- trex reveal railings are about $43 a linear foot, assuming 58 linear feet of railing (12, 12, 14, 12-stairs side A, 12-stairs side B)</t>
        </r>
      </text>
    </comment>
    <comment ref="C784" authorId="0" shapeId="0" xr:uid="{00000000-0006-0000-0400-00001F020000}">
      <text>
        <r>
          <rPr>
            <b/>
            <sz val="9"/>
            <color indexed="81"/>
            <rFont val="Tahoma"/>
            <family val="2"/>
          </rPr>
          <t>Guy:</t>
        </r>
        <r>
          <rPr>
            <sz val="9"/>
            <color indexed="81"/>
            <rFont val="Tahoma"/>
            <family val="2"/>
          </rPr>
          <t xml:space="preserve">
$55 an hour for two carpenters, 40 hours
trex revel is a slower process to install, and stairs take time</t>
        </r>
      </text>
    </comment>
    <comment ref="C787" authorId="0" shapeId="0" xr:uid="{00000000-0006-0000-0400-000020020000}">
      <text>
        <r>
          <rPr>
            <b/>
            <sz val="9"/>
            <color indexed="81"/>
            <rFont val="Tahoma"/>
            <family val="2"/>
          </rPr>
          <t>Guy:</t>
        </r>
        <r>
          <rPr>
            <sz val="9"/>
            <color indexed="81"/>
            <rFont val="Tahoma"/>
            <family val="2"/>
          </rPr>
          <t xml:space="preserve">
- assume about $11.5 a sqft for all decking materials (framiing, decking, pvc, concrete, etc.)
- assume about $450 for stairs materials
- don't have railing linear foot yet, assuming $1500 total for now</t>
        </r>
      </text>
    </comment>
    <comment ref="C788" authorId="0" shapeId="0" xr:uid="{00000000-0006-0000-0400-000021020000}">
      <text>
        <r>
          <rPr>
            <b/>
            <sz val="9"/>
            <color indexed="81"/>
            <rFont val="Tahoma"/>
            <family val="2"/>
          </rPr>
          <t>Guy:</t>
        </r>
        <r>
          <rPr>
            <sz val="9"/>
            <color indexed="81"/>
            <rFont val="Tahoma"/>
            <family val="2"/>
          </rPr>
          <t xml:space="preserve">
$55 an hour for two carpenters, 40 hours</t>
        </r>
      </text>
    </comment>
    <comment ref="C793" authorId="0" shapeId="0" xr:uid="{00000000-0006-0000-0400-000022020000}">
      <text>
        <r>
          <rPr>
            <b/>
            <sz val="9"/>
            <color indexed="81"/>
            <rFont val="Tahoma"/>
            <family val="2"/>
          </rPr>
          <t>Guy:</t>
        </r>
        <r>
          <rPr>
            <sz val="9"/>
            <color indexed="81"/>
            <rFont val="Tahoma"/>
            <family val="2"/>
          </rPr>
          <t xml:space="preserve">
- assune about $18 a sqft for all decking materials (framiing, decking, pvc, concrete, etc.) (includes $3 for more trim and column surrounds)
- don't have railing linear foot yet, assuming $1000 total for now</t>
        </r>
      </text>
    </comment>
    <comment ref="C794" authorId="0" shapeId="0" xr:uid="{00000000-0006-0000-0400-000023020000}">
      <text>
        <r>
          <rPr>
            <b/>
            <sz val="9"/>
            <color indexed="81"/>
            <rFont val="Tahoma"/>
            <family val="2"/>
          </rPr>
          <t>Guy:</t>
        </r>
        <r>
          <rPr>
            <sz val="9"/>
            <color indexed="81"/>
            <rFont val="Tahoma"/>
            <family val="2"/>
          </rPr>
          <t xml:space="preserve">
$55 an hour for two carpenters, 50 hours</t>
        </r>
      </text>
    </comment>
    <comment ref="F797" authorId="0" shapeId="0" xr:uid="{00000000-0006-0000-0400-000024020000}">
      <text>
        <r>
          <rPr>
            <b/>
            <sz val="9"/>
            <color indexed="81"/>
            <rFont val="Tahoma"/>
            <family val="2"/>
          </rPr>
          <t>Guy:</t>
        </r>
        <r>
          <rPr>
            <sz val="9"/>
            <color indexed="81"/>
            <rFont val="Tahoma"/>
            <family val="2"/>
          </rPr>
          <t xml:space="preserve">
= only totaling the higher cost between patio and deck</t>
        </r>
      </text>
    </comment>
    <comment ref="G797" authorId="0" shapeId="0" xr:uid="{00000000-0006-0000-0400-000025020000}">
      <text>
        <r>
          <rPr>
            <b/>
            <sz val="9"/>
            <color indexed="81"/>
            <rFont val="Tahoma"/>
            <family val="2"/>
          </rPr>
          <t>Guy:</t>
        </r>
        <r>
          <rPr>
            <sz val="9"/>
            <color indexed="81"/>
            <rFont val="Tahoma"/>
            <family val="2"/>
          </rPr>
          <t xml:space="preserve">
= only totaling the higher cost between patio and deck</t>
        </r>
      </text>
    </comment>
    <comment ref="C799" authorId="0" shapeId="0" xr:uid="{00000000-0006-0000-0400-000026020000}">
      <text>
        <r>
          <rPr>
            <b/>
            <sz val="9"/>
            <color indexed="81"/>
            <rFont val="Tahoma"/>
            <family val="2"/>
          </rPr>
          <t>Guy:</t>
        </r>
        <r>
          <rPr>
            <sz val="9"/>
            <color indexed="81"/>
            <rFont val="Tahoma"/>
            <family val="2"/>
          </rPr>
          <t xml:space="preserve">
- assune about $18 a sqft for all decking materials (framiing, decking, pvc, concrete, etc.) (includes $3 for more trim and column surrounds)
- don't have railing linear foot yet, assuming $1000 total for now</t>
        </r>
      </text>
    </comment>
    <comment ref="C800" authorId="0" shapeId="0" xr:uid="{00000000-0006-0000-0400-000027020000}">
      <text>
        <r>
          <rPr>
            <b/>
            <sz val="9"/>
            <color indexed="81"/>
            <rFont val="Tahoma"/>
            <family val="2"/>
          </rPr>
          <t>Guy:</t>
        </r>
        <r>
          <rPr>
            <sz val="9"/>
            <color indexed="81"/>
            <rFont val="Tahoma"/>
            <family val="2"/>
          </rPr>
          <t xml:space="preserve">
$55 an hour for two carpenters, 50 hours</t>
        </r>
      </text>
    </comment>
    <comment ref="C803" authorId="0" shapeId="0" xr:uid="{00000000-0006-0000-0400-000028020000}">
      <text>
        <r>
          <rPr>
            <b/>
            <sz val="9"/>
            <color indexed="81"/>
            <rFont val="Tahoma"/>
            <family val="2"/>
          </rPr>
          <t>Guy:</t>
        </r>
        <r>
          <rPr>
            <sz val="9"/>
            <color indexed="81"/>
            <rFont val="Tahoma"/>
            <family val="2"/>
          </rPr>
          <t xml:space="preserve">
- $3000 for framing materials
- 3 framers at 20 hours (3*rate for 2, then divide by 2)
- $1500 for trim materials
- 2 carpenter rate at 25 hours for trim
- $350 for ceiling fan/light
- $300 for gutters
- roofing depends on roof package level</t>
        </r>
      </text>
    </comment>
    <comment ref="F804" authorId="0" shapeId="0" xr:uid="{00000000-0006-0000-0400-000029020000}">
      <text>
        <r>
          <rPr>
            <b/>
            <sz val="9"/>
            <color indexed="81"/>
            <rFont val="Tahoma"/>
            <family val="2"/>
          </rPr>
          <t>Guy:</t>
        </r>
        <r>
          <rPr>
            <sz val="9"/>
            <color indexed="81"/>
            <rFont val="Tahoma"/>
            <family val="2"/>
          </rPr>
          <t xml:space="preserve">
= only totaling the higher cost between patio and deck</t>
        </r>
      </text>
    </comment>
    <comment ref="G804" authorId="0" shapeId="0" xr:uid="{00000000-0006-0000-0400-00002A020000}">
      <text>
        <r>
          <rPr>
            <b/>
            <sz val="9"/>
            <color indexed="81"/>
            <rFont val="Tahoma"/>
            <family val="2"/>
          </rPr>
          <t>Guy:</t>
        </r>
        <r>
          <rPr>
            <sz val="9"/>
            <color indexed="81"/>
            <rFont val="Tahoma"/>
            <family val="2"/>
          </rPr>
          <t xml:space="preserve">
= only totaling the higher cost between patio and deck</t>
        </r>
      </text>
    </comment>
    <comment ref="B807" authorId="4" shapeId="0" xr:uid="{BD0BE3A5-1C0C-4537-807C-3A97FC336DB4}">
      <text>
        <t>[Threaded comment]
Your version of Excel allows you to read this threaded comment; however, any edits to it will get removed if the file is opened in a newer version of Excel. Learn more: https://go.microsoft.com/fwlink/?linkid=870924
Comment:
    need to add more detail to porch. costs should be broken between foundation, walking surface (decking or flagstone, if flagstone, more concrete, if decking, then framing labor/material), posts/beam trim, ceiling trim, and railing (level railing and stairs railing).  we should assume 4 stairs and a stairs railing in the cost.  we should ouput the budget/allowance for each of these items broken between labor and material where applicable. The foundation/slab costs should be added to the foundation budget.  The foundation quote will include the porch walls in the overall walls of the home, but the porch slab is typically broken out</t>
      </text>
    </comment>
    <comment ref="B809" authorId="0" shapeId="0" xr:uid="{00000000-0006-0000-0400-00002B020000}">
      <text>
        <r>
          <rPr>
            <b/>
            <sz val="9"/>
            <color indexed="81"/>
            <rFont val="Tahoma"/>
            <family val="2"/>
          </rPr>
          <t>Guy:</t>
        </r>
        <r>
          <rPr>
            <sz val="9"/>
            <color indexed="81"/>
            <rFont val="Tahoma"/>
            <family val="2"/>
          </rPr>
          <t xml:space="preserve">
- only pricing concrete with flagstone because that is higher price than decking material.  Decking material will be offered on the website</t>
        </r>
      </text>
    </comment>
    <comment ref="C811" authorId="0" shapeId="0" xr:uid="{00000000-0006-0000-0400-00002C020000}">
      <text>
        <r>
          <rPr>
            <b/>
            <sz val="9"/>
            <color indexed="81"/>
            <rFont val="Tahoma"/>
            <family val="2"/>
          </rPr>
          <t>Guy:</t>
        </r>
        <r>
          <rPr>
            <sz val="9"/>
            <color indexed="81"/>
            <rFont val="Tahoma"/>
            <family val="2"/>
          </rPr>
          <t xml:space="preserve">
- $1500 for concrete installed, including steps
- $500 for railing</t>
        </r>
      </text>
    </comment>
    <comment ref="C817" authorId="0" shapeId="0" xr:uid="{00000000-0006-0000-0400-00002E020000}">
      <text>
        <r>
          <rPr>
            <b/>
            <sz val="9"/>
            <color indexed="81"/>
            <rFont val="Tahoma"/>
            <family val="2"/>
          </rPr>
          <t>Guy:</t>
        </r>
        <r>
          <rPr>
            <sz val="9"/>
            <color indexed="81"/>
            <rFont val="Tahoma"/>
            <family val="2"/>
          </rPr>
          <t xml:space="preserve">
- $1500 for concrete installed, including steps
- $1500 for railing
- $9 sqft for flagstone (includes sand and mortar and delivery), 6x10 plus 3x4 for steps</t>
        </r>
      </text>
    </comment>
    <comment ref="C818" authorId="0" shapeId="0" xr:uid="{00000000-0006-0000-0400-00002F020000}">
      <text>
        <r>
          <rPr>
            <b/>
            <sz val="9"/>
            <color indexed="81"/>
            <rFont val="Tahoma"/>
            <family val="2"/>
          </rPr>
          <t>Guy:</t>
        </r>
        <r>
          <rPr>
            <sz val="9"/>
            <color indexed="81"/>
            <rFont val="Tahoma"/>
            <family val="2"/>
          </rPr>
          <t xml:space="preserve">
- 6x10 sqft plus 4x3 for steps</t>
        </r>
      </text>
    </comment>
    <comment ref="C821" authorId="0" shapeId="0" xr:uid="{00000000-0006-0000-0400-000030020000}">
      <text>
        <r>
          <rPr>
            <b/>
            <sz val="9"/>
            <color indexed="81"/>
            <rFont val="Tahoma"/>
            <family val="2"/>
          </rPr>
          <t>Guy:</t>
        </r>
        <r>
          <rPr>
            <sz val="9"/>
            <color indexed="81"/>
            <rFont val="Tahoma"/>
            <family val="2"/>
          </rPr>
          <t xml:space="preserve">
- $2500 for concrete installed at 8x20 size, $2 a sqft above that
- $600 per 10 feet of railing</t>
        </r>
      </text>
    </comment>
    <comment ref="C822" authorId="0" shapeId="0" xr:uid="{00000000-0006-0000-0400-000031020000}">
      <text>
        <r>
          <rPr>
            <b/>
            <sz val="9"/>
            <color indexed="81"/>
            <rFont val="Tahoma"/>
            <family val="2"/>
          </rPr>
          <t>Guy:</t>
        </r>
        <r>
          <rPr>
            <sz val="9"/>
            <color indexed="81"/>
            <rFont val="Tahoma"/>
            <family val="2"/>
          </rPr>
          <t xml:space="preserve">
- 6 hours for 8x20 porch, 10 hours for 8x50 porch (equation makes that happen)</t>
        </r>
      </text>
    </comment>
    <comment ref="F825" authorId="1" shapeId="0" xr:uid="{00000000-0006-0000-0400-000032020000}">
      <text>
        <r>
          <rPr>
            <b/>
            <sz val="9"/>
            <color indexed="81"/>
            <rFont val="Tahoma"/>
            <family val="2"/>
          </rPr>
          <t>1186341526V:</t>
        </r>
        <r>
          <rPr>
            <sz val="9"/>
            <color indexed="81"/>
            <rFont val="Tahoma"/>
            <family val="2"/>
          </rPr>
          <t xml:space="preserve">
- max of the two options</t>
        </r>
      </text>
    </comment>
    <comment ref="C827" authorId="0" shapeId="0" xr:uid="{00000000-0006-0000-0400-000033020000}">
      <text>
        <r>
          <rPr>
            <b/>
            <sz val="9"/>
            <color indexed="81"/>
            <rFont val="Tahoma"/>
            <family val="2"/>
          </rPr>
          <t>Guy:</t>
        </r>
        <r>
          <rPr>
            <sz val="9"/>
            <color indexed="81"/>
            <rFont val="Tahoma"/>
            <family val="2"/>
          </rPr>
          <t xml:space="preserve">
- $2000 for concrete installed at 8x15 size, $2 a sqft above that
- $600 per 10 feet of railing
- $13 per sqft for flagstone, sand, mortar (add 4x10 sqft for 4' long and 10' wide stairs) </t>
        </r>
      </text>
    </comment>
    <comment ref="C828" authorId="0" shapeId="0" xr:uid="{00000000-0006-0000-0400-000034020000}">
      <text>
        <r>
          <rPr>
            <b/>
            <sz val="9"/>
            <color indexed="81"/>
            <rFont val="Tahoma"/>
            <family val="2"/>
          </rPr>
          <t>Guy:</t>
        </r>
        <r>
          <rPr>
            <sz val="9"/>
            <color indexed="81"/>
            <rFont val="Tahoma"/>
            <family val="2"/>
          </rPr>
          <t xml:space="preserve">
- carpentry 8 hours for 8x15 porch, 12 hours for 8x30 porch (equation makes that happen)
- mason -  4x10 sqft for steps</t>
        </r>
      </text>
    </comment>
    <comment ref="C833" authorId="0" shapeId="0" xr:uid="{00000000-0006-0000-0400-000035020000}">
      <text>
        <r>
          <rPr>
            <b/>
            <sz val="9"/>
            <color indexed="81"/>
            <rFont val="Tahoma"/>
            <family val="2"/>
          </rPr>
          <t>Guy:</t>
        </r>
        <r>
          <rPr>
            <sz val="9"/>
            <color indexed="81"/>
            <rFont val="Tahoma"/>
            <family val="2"/>
          </rPr>
          <t xml:space="preserve">
- $2500 for concrete installed at 8x20 size, $2 a sqft above that
- $1200 per 10 feet of railing
- $17 per sqft for flagstone, sand, mortar (add 4x10 sqft for 4' long and 10' wide stairs) </t>
        </r>
      </text>
    </comment>
    <comment ref="C834" authorId="0" shapeId="0" xr:uid="{00000000-0006-0000-0400-000036020000}">
      <text>
        <r>
          <rPr>
            <b/>
            <sz val="9"/>
            <color indexed="81"/>
            <rFont val="Tahoma"/>
            <family val="2"/>
          </rPr>
          <t>Guy:</t>
        </r>
        <r>
          <rPr>
            <sz val="9"/>
            <color indexed="81"/>
            <rFont val="Tahoma"/>
            <family val="2"/>
          </rPr>
          <t xml:space="preserve">
- carpenter - 10 hours for 8x20porch, 16 hours for 8x50 porch (equation makes that happen)
- mason - add 4x10 sqft for steps</t>
        </r>
      </text>
    </comment>
    <comment ref="D846" authorId="1" shapeId="0" xr:uid="{00000000-0006-0000-0400-000037020000}">
      <text>
        <r>
          <rPr>
            <b/>
            <sz val="9"/>
            <color indexed="81"/>
            <rFont val="Tahoma"/>
            <family val="2"/>
          </rPr>
          <t>1186341526V:</t>
        </r>
        <r>
          <rPr>
            <sz val="9"/>
            <color indexed="81"/>
            <rFont val="Tahoma"/>
            <family val="2"/>
          </rPr>
          <t xml:space="preserve">
$250 door
$50 hardware install
$100 paint</t>
        </r>
      </text>
    </comment>
    <comment ref="D852" authorId="1" shapeId="0" xr:uid="{00000000-0006-0000-0400-000038020000}">
      <text>
        <r>
          <rPr>
            <b/>
            <sz val="9"/>
            <color indexed="81"/>
            <rFont val="Tahoma"/>
            <family val="2"/>
          </rPr>
          <t>1186341526V:</t>
        </r>
        <r>
          <rPr>
            <sz val="9"/>
            <color indexed="81"/>
            <rFont val="Tahoma"/>
            <family val="2"/>
          </rPr>
          <t xml:space="preserve">
$250 door
$50 hardware install
$100 paint</t>
        </r>
      </text>
    </comment>
    <comment ref="D857" authorId="1" shapeId="0" xr:uid="{00000000-0006-0000-0400-000039020000}">
      <text>
        <r>
          <rPr>
            <b/>
            <sz val="9"/>
            <color indexed="81"/>
            <rFont val="Tahoma"/>
            <family val="2"/>
          </rPr>
          <t>1186341526V:</t>
        </r>
        <r>
          <rPr>
            <sz val="9"/>
            <color indexed="81"/>
            <rFont val="Tahoma"/>
            <family val="2"/>
          </rPr>
          <t xml:space="preserve">
$1000 door
$50 hardware install
$750 pre-stained</t>
        </r>
      </text>
    </comment>
    <comment ref="D868" authorId="1" shapeId="0" xr:uid="{00000000-0006-0000-0400-00003A020000}">
      <text>
        <r>
          <rPr>
            <b/>
            <sz val="9"/>
            <color indexed="81"/>
            <rFont val="Tahoma"/>
            <family val="2"/>
          </rPr>
          <t>1186341526V:</t>
        </r>
        <r>
          <rPr>
            <sz val="9"/>
            <color indexed="81"/>
            <rFont val="Tahoma"/>
            <family val="2"/>
          </rPr>
          <t xml:space="preserve">
$4500 door
$50 hardware install
$1000 pre-stained</t>
        </r>
      </text>
    </comment>
    <comment ref="D879" authorId="1" shapeId="0" xr:uid="{00000000-0006-0000-0400-00003B020000}">
      <text>
        <r>
          <rPr>
            <b/>
            <sz val="9"/>
            <color indexed="81"/>
            <rFont val="Tahoma"/>
            <family val="2"/>
          </rPr>
          <t>1186341526V:</t>
        </r>
        <r>
          <rPr>
            <sz val="9"/>
            <color indexed="81"/>
            <rFont val="Tahoma"/>
            <family val="2"/>
          </rPr>
          <t xml:space="preserve">
$9k allowance</t>
        </r>
      </text>
    </comment>
    <comment ref="C890" authorId="0" shapeId="0" xr:uid="{00000000-0006-0000-0400-00003C020000}">
      <text>
        <r>
          <rPr>
            <b/>
            <sz val="9"/>
            <color indexed="81"/>
            <rFont val="Tahoma"/>
            <family val="2"/>
          </rPr>
          <t>Guy:</t>
        </r>
        <r>
          <rPr>
            <sz val="9"/>
            <color indexed="81"/>
            <rFont val="Tahoma"/>
            <family val="2"/>
          </rPr>
          <t xml:space="preserve">
wall linear feet (not including height)
T is total square feet of first two floors
G is total square feet of garage
equations assume square homes (close enough if house is rectangle)
1 story front or side entry - 4*sqrt(T+G)
1 story courtyard garage entry - 4*sqrt(T) + 2*sqrt(G)
2 story front or side entry - 4*sqrt((T+G)/2)
2 story courtyard garage entry - 4*sqrt(((T+G)/2)-G) + 2*sqrt(G)
- if basement garage - 4 *sqrt (T)</t>
        </r>
      </text>
    </comment>
    <comment ref="D890" authorId="0" shapeId="0" xr:uid="{00000000-0006-0000-0400-00003D020000}">
      <text>
        <r>
          <rPr>
            <b/>
            <sz val="9"/>
            <color indexed="81"/>
            <rFont val="Tahoma"/>
            <family val="2"/>
          </rPr>
          <t>Guy:</t>
        </r>
        <r>
          <rPr>
            <sz val="9"/>
            <color indexed="81"/>
            <rFont val="Tahoma"/>
            <family val="2"/>
          </rPr>
          <t xml:space="preserve">
- height of wall is floor heights plus 1 foot per extra floor for joists (basement included)</t>
        </r>
      </text>
    </comment>
    <comment ref="F890" authorId="0" shapeId="0" xr:uid="{00000000-0006-0000-0400-00003E020000}">
      <text>
        <r>
          <rPr>
            <b/>
            <sz val="9"/>
            <color indexed="81"/>
            <rFont val="Tahoma"/>
            <family val="2"/>
          </rPr>
          <t>Guy:</t>
        </r>
        <r>
          <rPr>
            <sz val="9"/>
            <color indexed="81"/>
            <rFont val="Tahoma"/>
            <family val="2"/>
          </rPr>
          <t xml:space="preserve">
- Assume that basement is walk-out with back or front wall fully exposed, side walls half exposed, and front or back wall 1/10th exposed (1 + 1/2 +1/2 + .1 = 2.1)</t>
        </r>
      </text>
    </comment>
    <comment ref="B891" authorId="0" shapeId="0" xr:uid="{00000000-0006-0000-0400-00003F020000}">
      <text>
        <r>
          <rPr>
            <b/>
            <sz val="9"/>
            <color indexed="81"/>
            <rFont val="Tahoma"/>
            <family val="2"/>
          </rPr>
          <t>Guy:</t>
        </r>
        <r>
          <rPr>
            <sz val="9"/>
            <color indexed="81"/>
            <rFont val="Tahoma"/>
            <family val="2"/>
          </rPr>
          <t xml:space="preserve">
- put note on website about a courtyard garage adding about 10% in siding costs.
- note that a side entry garage adds about 10% in siding costs</t>
        </r>
      </text>
    </comment>
    <comment ref="A893" authorId="0" shapeId="0" xr:uid="{00000000-0006-0000-0400-000040020000}">
      <text>
        <r>
          <rPr>
            <b/>
            <sz val="9"/>
            <color indexed="81"/>
            <rFont val="Tahoma"/>
            <family val="2"/>
          </rPr>
          <t>Guy:</t>
        </r>
        <r>
          <rPr>
            <sz val="9"/>
            <color indexed="81"/>
            <rFont val="Tahoma"/>
            <family val="2"/>
          </rPr>
          <t xml:space="preserve">
- assume front and courtyard entry garages have materials in section 1</t>
        </r>
      </text>
    </comment>
    <comment ref="C893" authorId="0" shapeId="0" xr:uid="{00000000-0006-0000-0400-000041020000}">
      <text>
        <r>
          <rPr>
            <b/>
            <sz val="9"/>
            <color indexed="81"/>
            <rFont val="Tahoma"/>
            <family val="2"/>
          </rPr>
          <t>Guy:</t>
        </r>
        <r>
          <rPr>
            <sz val="9"/>
            <color indexed="81"/>
            <rFont val="Tahoma"/>
            <family val="2"/>
          </rPr>
          <t xml:space="preserve">
- includes mortar and other install materials in addition to brick</t>
        </r>
      </text>
    </comment>
    <comment ref="D893" authorId="0" shapeId="0" xr:uid="{00000000-0006-0000-0400-000042020000}">
      <text>
        <r>
          <rPr>
            <b/>
            <sz val="9"/>
            <color indexed="81"/>
            <rFont val="Tahoma"/>
            <family val="2"/>
          </rPr>
          <t>Guy:</t>
        </r>
        <r>
          <rPr>
            <sz val="9"/>
            <color indexed="81"/>
            <rFont val="Tahoma"/>
            <family val="2"/>
          </rPr>
          <t xml:space="preserve">
- front is 1/4 of total
- reduce for window package
- reduce for garage doors if front entry or courtyard garage is selected as an attribute (assume 8x10 doors per garage spot)</t>
        </r>
      </text>
    </comment>
    <comment ref="D894" authorId="0" shapeId="0" xr:uid="{00000000-0006-0000-0400-000043020000}">
      <text>
        <r>
          <rPr>
            <b/>
            <sz val="9"/>
            <color indexed="81"/>
            <rFont val="Tahoma"/>
            <family val="2"/>
          </rPr>
          <t>Guy:</t>
        </r>
        <r>
          <rPr>
            <sz val="9"/>
            <color indexed="81"/>
            <rFont val="Tahoma"/>
            <family val="2"/>
          </rPr>
          <t xml:space="preserve">
- labor is less sqft than materials because waste is ordered for materials</t>
        </r>
      </text>
    </comment>
    <comment ref="D895" authorId="0" shapeId="0" xr:uid="{00000000-0006-0000-0400-000044020000}">
      <text>
        <r>
          <rPr>
            <b/>
            <sz val="9"/>
            <color indexed="81"/>
            <rFont val="Tahoma"/>
            <family val="2"/>
          </rPr>
          <t>Guy:</t>
        </r>
        <r>
          <rPr>
            <sz val="9"/>
            <color indexed="81"/>
            <rFont val="Tahoma"/>
            <family val="2"/>
          </rPr>
          <t xml:space="preserve">
- assumes square house, so 3/4 of total
- reduces based on window package
- reduces for garage doors if side entry garage is selected as an attribute (assume 8x10 doors per garage spot)</t>
        </r>
      </text>
    </comment>
    <comment ref="D896" authorId="0" shapeId="0" xr:uid="{00000000-0006-0000-0400-000045020000}">
      <text>
        <r>
          <rPr>
            <b/>
            <sz val="9"/>
            <color indexed="81"/>
            <rFont val="Tahoma"/>
            <family val="2"/>
          </rPr>
          <t>Guy:</t>
        </r>
        <r>
          <rPr>
            <sz val="9"/>
            <color indexed="81"/>
            <rFont val="Tahoma"/>
            <family val="2"/>
          </rPr>
          <t xml:space="preserve">
- labor is less sqft than materials because waste is ordered for materials</t>
        </r>
      </text>
    </comment>
    <comment ref="C897" authorId="0" shapeId="0" xr:uid="{00000000-0006-0000-0400-000046020000}">
      <text>
        <r>
          <rPr>
            <b/>
            <sz val="9"/>
            <color indexed="81"/>
            <rFont val="Tahoma"/>
            <family val="2"/>
          </rPr>
          <t>Guy:</t>
        </r>
        <r>
          <rPr>
            <sz val="9"/>
            <color indexed="81"/>
            <rFont val="Tahoma"/>
            <family val="2"/>
          </rPr>
          <t xml:space="preserve">
- includes mortar and other install materials in addition to brick</t>
        </r>
      </text>
    </comment>
    <comment ref="D897" authorId="0" shapeId="0" xr:uid="{00000000-0006-0000-0400-000047020000}">
      <text>
        <r>
          <rPr>
            <b/>
            <sz val="9"/>
            <color indexed="81"/>
            <rFont val="Tahoma"/>
            <family val="2"/>
          </rPr>
          <t>Guy:</t>
        </r>
        <r>
          <rPr>
            <sz val="9"/>
            <color indexed="81"/>
            <rFont val="Tahoma"/>
            <family val="2"/>
          </rPr>
          <t xml:space="preserve">
- assume 2' of front basement wall with same material as material 1 on front of house
- if basement garage entry, then assume front foundatoin wall is all brick, and then reduce for garage doors (assume doors 8x10 per garage spot)</t>
        </r>
      </text>
    </comment>
    <comment ref="D898" authorId="0" shapeId="0" xr:uid="{00000000-0006-0000-0400-000048020000}">
      <text>
        <r>
          <rPr>
            <b/>
            <sz val="9"/>
            <color indexed="81"/>
            <rFont val="Tahoma"/>
            <family val="2"/>
          </rPr>
          <t>Guy:</t>
        </r>
        <r>
          <rPr>
            <sz val="9"/>
            <color indexed="81"/>
            <rFont val="Tahoma"/>
            <family val="2"/>
          </rPr>
          <t xml:space="preserve">
- labor is less sqft than materials because waste is ordered for materials</t>
        </r>
      </text>
    </comment>
    <comment ref="C899" authorId="0" shapeId="0" xr:uid="{00000000-0006-0000-0400-000049020000}">
      <text>
        <r>
          <rPr>
            <b/>
            <sz val="9"/>
            <color indexed="81"/>
            <rFont val="Tahoma"/>
            <family val="2"/>
          </rPr>
          <t>Guy:</t>
        </r>
        <r>
          <rPr>
            <sz val="9"/>
            <color indexed="81"/>
            <rFont val="Tahoma"/>
            <family val="2"/>
          </rPr>
          <t xml:space="preserve">
22 cents a sqft adjusted for window package</t>
        </r>
      </text>
    </comment>
    <comment ref="C900" authorId="0" shapeId="0" xr:uid="{00000000-0006-0000-0400-00004A020000}">
      <text>
        <r>
          <rPr>
            <b/>
            <sz val="9"/>
            <color indexed="81"/>
            <rFont val="Tahoma"/>
            <family val="2"/>
          </rPr>
          <t>Guy:</t>
        </r>
        <r>
          <rPr>
            <sz val="9"/>
            <color indexed="81"/>
            <rFont val="Tahoma"/>
            <family val="2"/>
          </rPr>
          <t xml:space="preserve">
28 cents a sqft adjusted for window package</t>
        </r>
      </text>
    </comment>
    <comment ref="A903" authorId="0" shapeId="0" xr:uid="{00000000-0006-0000-0400-00004B020000}">
      <text>
        <r>
          <rPr>
            <b/>
            <sz val="9"/>
            <color indexed="81"/>
            <rFont val="Tahoma"/>
            <family val="2"/>
          </rPr>
          <t>Guy:</t>
        </r>
        <r>
          <rPr>
            <sz val="9"/>
            <color indexed="81"/>
            <rFont val="Tahoma"/>
            <family val="2"/>
          </rPr>
          <t xml:space="preserve">
- assume front and courtyard entry garages have materials in section 1</t>
        </r>
      </text>
    </comment>
    <comment ref="D903" authorId="0" shapeId="0" xr:uid="{00000000-0006-0000-0400-00004C020000}">
      <text>
        <r>
          <rPr>
            <b/>
            <sz val="9"/>
            <color indexed="81"/>
            <rFont val="Tahoma"/>
            <family val="2"/>
          </rPr>
          <t>Guy:</t>
        </r>
        <r>
          <rPr>
            <sz val="9"/>
            <color indexed="81"/>
            <rFont val="Tahoma"/>
            <family val="2"/>
          </rPr>
          <t xml:space="preserve">
- 3/4 of total for sides and rear, then 3/4 of front which is 1/4 of total (3/4 + 3/16)
- adjusted for window package
- subtract garage doors if front, side, or courtyard entry</t>
        </r>
      </text>
    </comment>
    <comment ref="D904" authorId="0" shapeId="0" xr:uid="{00000000-0006-0000-0400-00004D020000}">
      <text>
        <r>
          <rPr>
            <b/>
            <sz val="9"/>
            <color indexed="81"/>
            <rFont val="Tahoma"/>
            <family val="2"/>
          </rPr>
          <t>Guy:</t>
        </r>
        <r>
          <rPr>
            <sz val="9"/>
            <color indexed="81"/>
            <rFont val="Tahoma"/>
            <family val="2"/>
          </rPr>
          <t xml:space="preserve">
- labor is less sqft than materials because waste is ordered for materials</t>
        </r>
      </text>
    </comment>
    <comment ref="B905" authorId="0" shapeId="0" xr:uid="{00000000-0006-0000-0400-00004E020000}">
      <text>
        <r>
          <rPr>
            <b/>
            <sz val="9"/>
            <color indexed="81"/>
            <rFont val="Tahoma"/>
            <family val="2"/>
          </rPr>
          <t>Guy:</t>
        </r>
        <r>
          <rPr>
            <sz val="9"/>
            <color indexed="81"/>
            <rFont val="Tahoma"/>
            <family val="2"/>
          </rPr>
          <t xml:space="preserve">
- thin stone is about 100-120 sqft per ton.  Thing stone is around $275 a ton.
- building stone is about 30-40 sqft per ton, and around $210 a ton.</t>
        </r>
      </text>
    </comment>
    <comment ref="D905" authorId="0" shapeId="0" xr:uid="{00000000-0006-0000-0400-00004F020000}">
      <text>
        <r>
          <rPr>
            <b/>
            <sz val="9"/>
            <color indexed="81"/>
            <rFont val="Tahoma"/>
            <family val="2"/>
          </rPr>
          <t>Guy:</t>
        </r>
        <r>
          <rPr>
            <sz val="9"/>
            <color indexed="81"/>
            <rFont val="Tahoma"/>
            <family val="2"/>
          </rPr>
          <t xml:space="preserve">
- front is 1/4 of total, and then 1/4 of front (1/16)
- reduce for window package
- if basement, add 2 feet of foundation wall, unless basement entry, then add whole front foundation wall of stone minus garage doors
</t>
        </r>
      </text>
    </comment>
    <comment ref="D906" authorId="0" shapeId="0" xr:uid="{00000000-0006-0000-0400-000050020000}">
      <text>
        <r>
          <rPr>
            <b/>
            <sz val="9"/>
            <color indexed="81"/>
            <rFont val="Tahoma"/>
            <family val="2"/>
          </rPr>
          <t>Guy:</t>
        </r>
        <r>
          <rPr>
            <sz val="9"/>
            <color indexed="81"/>
            <rFont val="Tahoma"/>
            <family val="2"/>
          </rPr>
          <t xml:space="preserve">
- labor is less sqft than materials because waste is ordered for materials</t>
        </r>
      </text>
    </comment>
    <comment ref="E907" authorId="0" shapeId="0" xr:uid="{00000000-0006-0000-0400-000051020000}">
      <text>
        <r>
          <rPr>
            <b/>
            <sz val="9"/>
            <color indexed="81"/>
            <rFont val="Tahoma"/>
            <family val="2"/>
          </rPr>
          <t>Guy:</t>
        </r>
        <r>
          <rPr>
            <sz val="9"/>
            <color indexed="81"/>
            <rFont val="Tahoma"/>
            <family val="2"/>
          </rPr>
          <t xml:space="preserve">
- assuming about 10 gallons of paint at $30 a gallon</t>
        </r>
      </text>
    </comment>
    <comment ref="E908" authorId="0" shapeId="0" xr:uid="{00000000-0006-0000-0400-000052020000}">
      <text>
        <r>
          <rPr>
            <b/>
            <sz val="9"/>
            <color indexed="81"/>
            <rFont val="Tahoma"/>
            <family val="2"/>
          </rPr>
          <t>Guy:</t>
        </r>
        <r>
          <rPr>
            <sz val="9"/>
            <color indexed="81"/>
            <rFont val="Tahoma"/>
            <family val="2"/>
          </rPr>
          <t xml:space="preserve">
- two painters for two days</t>
        </r>
      </text>
    </comment>
    <comment ref="C909" authorId="0" shapeId="0" xr:uid="{00000000-0006-0000-0400-000053020000}">
      <text>
        <r>
          <rPr>
            <b/>
            <sz val="9"/>
            <color indexed="81"/>
            <rFont val="Tahoma"/>
            <family val="2"/>
          </rPr>
          <t>Guy:</t>
        </r>
        <r>
          <rPr>
            <sz val="9"/>
            <color indexed="81"/>
            <rFont val="Tahoma"/>
            <family val="2"/>
          </rPr>
          <t xml:space="preserve">
27 cents a sqft adjusted for window package</t>
        </r>
      </text>
    </comment>
    <comment ref="C910" authorId="0" shapeId="0" xr:uid="{00000000-0006-0000-0400-000054020000}">
      <text>
        <r>
          <rPr>
            <b/>
            <sz val="9"/>
            <color indexed="81"/>
            <rFont val="Tahoma"/>
            <family val="2"/>
          </rPr>
          <t>Guy:</t>
        </r>
        <r>
          <rPr>
            <sz val="9"/>
            <color indexed="81"/>
            <rFont val="Tahoma"/>
            <family val="2"/>
          </rPr>
          <t xml:space="preserve">
32 cents a sqft adjusted for window package</t>
        </r>
      </text>
    </comment>
    <comment ref="A913" authorId="0" shapeId="0" xr:uid="{00000000-0006-0000-0400-000055020000}">
      <text>
        <r>
          <rPr>
            <b/>
            <sz val="9"/>
            <color indexed="81"/>
            <rFont val="Tahoma"/>
            <family val="2"/>
          </rPr>
          <t>Guy:</t>
        </r>
        <r>
          <rPr>
            <sz val="9"/>
            <color indexed="81"/>
            <rFont val="Tahoma"/>
            <family val="2"/>
          </rPr>
          <t xml:space="preserve">
- assume front and courtyard entry garages have materials in section 1</t>
        </r>
      </text>
    </comment>
    <comment ref="D913" authorId="0" shapeId="0" xr:uid="{00000000-0006-0000-0400-000056020000}">
      <text>
        <r>
          <rPr>
            <b/>
            <sz val="9"/>
            <color indexed="81"/>
            <rFont val="Tahoma"/>
            <family val="2"/>
          </rPr>
          <t>Guy:</t>
        </r>
        <r>
          <rPr>
            <sz val="9"/>
            <color indexed="81"/>
            <rFont val="Tahoma"/>
            <family val="2"/>
          </rPr>
          <t xml:space="preserve">
- front is 1/4 of total
- reduce for window package
- reduce for garage doors if front entry or courtyard garage is selected as an attribute (assume 8x10 doors per garage spot)</t>
        </r>
      </text>
    </comment>
    <comment ref="D914" authorId="0" shapeId="0" xr:uid="{00000000-0006-0000-0400-000057020000}">
      <text>
        <r>
          <rPr>
            <b/>
            <sz val="9"/>
            <color indexed="81"/>
            <rFont val="Tahoma"/>
            <family val="2"/>
          </rPr>
          <t>Guy:</t>
        </r>
        <r>
          <rPr>
            <sz val="9"/>
            <color indexed="81"/>
            <rFont val="Tahoma"/>
            <family val="2"/>
          </rPr>
          <t xml:space="preserve">
- labor is less sqft than materials because waste is ordered for materials</t>
        </r>
      </text>
    </comment>
    <comment ref="C915" authorId="0" shapeId="0" xr:uid="{00000000-0006-0000-0400-000058020000}">
      <text>
        <r>
          <rPr>
            <b/>
            <sz val="9"/>
            <color indexed="81"/>
            <rFont val="Tahoma"/>
            <family val="2"/>
          </rPr>
          <t>Guy:</t>
        </r>
        <r>
          <rPr>
            <sz val="9"/>
            <color indexed="81"/>
            <rFont val="Tahoma"/>
            <family val="2"/>
          </rPr>
          <t xml:space="preserve">
- includes mortar and other install materials in addition to brick</t>
        </r>
      </text>
    </comment>
    <comment ref="D915" authorId="0" shapeId="0" xr:uid="{00000000-0006-0000-0400-000059020000}">
      <text>
        <r>
          <rPr>
            <b/>
            <sz val="9"/>
            <color indexed="81"/>
            <rFont val="Tahoma"/>
            <family val="2"/>
          </rPr>
          <t>Guy:</t>
        </r>
        <r>
          <rPr>
            <sz val="9"/>
            <color indexed="81"/>
            <rFont val="Tahoma"/>
            <family val="2"/>
          </rPr>
          <t xml:space="preserve">
- assumes square house, so 3/4 of total
- reduces based on window package
- reduces for garage doors if side entry garage is selected as an attribute (assume 8x10 doors per garage spot)</t>
        </r>
      </text>
    </comment>
    <comment ref="D916" authorId="0" shapeId="0" xr:uid="{00000000-0006-0000-0400-00005A020000}">
      <text>
        <r>
          <rPr>
            <b/>
            <sz val="9"/>
            <color indexed="81"/>
            <rFont val="Tahoma"/>
            <family val="2"/>
          </rPr>
          <t>Guy:</t>
        </r>
        <r>
          <rPr>
            <sz val="9"/>
            <color indexed="81"/>
            <rFont val="Tahoma"/>
            <family val="2"/>
          </rPr>
          <t xml:space="preserve">
- labor is less sqft than materials because waste is ordered for materials</t>
        </r>
      </text>
    </comment>
    <comment ref="C917" authorId="0" shapeId="0" xr:uid="{00000000-0006-0000-0400-00005B020000}">
      <text>
        <r>
          <rPr>
            <b/>
            <sz val="9"/>
            <color indexed="81"/>
            <rFont val="Tahoma"/>
            <family val="2"/>
          </rPr>
          <t>Guy:</t>
        </r>
        <r>
          <rPr>
            <sz val="9"/>
            <color indexed="81"/>
            <rFont val="Tahoma"/>
            <family val="2"/>
          </rPr>
          <t xml:space="preserve">
- includes mortar and other install materials in addition to brick
- includes brick ledge</t>
        </r>
      </text>
    </comment>
    <comment ref="D917" authorId="0" shapeId="0" xr:uid="{00000000-0006-0000-0400-00005C020000}">
      <text>
        <r>
          <rPr>
            <b/>
            <sz val="9"/>
            <color indexed="81"/>
            <rFont val="Tahoma"/>
            <family val="2"/>
          </rPr>
          <t>Guy:</t>
        </r>
        <r>
          <rPr>
            <sz val="9"/>
            <color indexed="81"/>
            <rFont val="Tahoma"/>
            <family val="2"/>
          </rPr>
          <t xml:space="preserve">
- foundation exposed sqft minus window package minus garage doors if basement entry</t>
        </r>
      </text>
    </comment>
    <comment ref="F917" authorId="2" shapeId="0" xr:uid="{A7683B5D-5837-48B4-BA6C-708C942CFCD4}">
      <text>
        <r>
          <rPr>
            <b/>
            <sz val="9"/>
            <color indexed="81"/>
            <rFont val="Tahoma"/>
            <family val="2"/>
          </rPr>
          <t>guy barth:</t>
        </r>
        <r>
          <rPr>
            <sz val="9"/>
            <color indexed="81"/>
            <rFont val="Tahoma"/>
            <family val="2"/>
          </rPr>
          <t xml:space="preserve">
- linear feet of house, only 3/4 because front is assumed to be thin stone, and then 30 multplier to estimate cost
- only add brick ledge costs if unfinished or finished basement, not when there is no basement</t>
        </r>
      </text>
    </comment>
    <comment ref="D918" authorId="0" shapeId="0" xr:uid="{00000000-0006-0000-0400-00005D020000}">
      <text>
        <r>
          <rPr>
            <b/>
            <sz val="9"/>
            <color indexed="81"/>
            <rFont val="Tahoma"/>
            <family val="2"/>
          </rPr>
          <t>Guy:</t>
        </r>
        <r>
          <rPr>
            <sz val="9"/>
            <color indexed="81"/>
            <rFont val="Tahoma"/>
            <family val="2"/>
          </rPr>
          <t xml:space="preserve">
- labor is less sqft than materials because waste is ordered for materials</t>
        </r>
      </text>
    </comment>
    <comment ref="C919" authorId="0" shapeId="0" xr:uid="{00000000-0006-0000-0400-00005E020000}">
      <text>
        <r>
          <rPr>
            <b/>
            <sz val="9"/>
            <color indexed="81"/>
            <rFont val="Tahoma"/>
            <family val="2"/>
          </rPr>
          <t xml:space="preserve">Guy:
</t>
        </r>
        <r>
          <rPr>
            <sz val="9"/>
            <color indexed="81"/>
            <rFont val="Tahoma"/>
            <family val="2"/>
          </rPr>
          <t>50 cents a sqft adjusted for window package</t>
        </r>
      </text>
    </comment>
    <comment ref="C920" authorId="0" shapeId="0" xr:uid="{00000000-0006-0000-0400-00005F020000}">
      <text>
        <r>
          <rPr>
            <b/>
            <sz val="9"/>
            <color indexed="81"/>
            <rFont val="Tahoma"/>
            <family val="2"/>
          </rPr>
          <t>Guy:</t>
        </r>
        <r>
          <rPr>
            <sz val="9"/>
            <color indexed="81"/>
            <rFont val="Tahoma"/>
            <family val="2"/>
          </rPr>
          <t xml:space="preserve">
40 cents a sqft adjusted for window package
- less carpenter labor, but more masonry labor</t>
        </r>
      </text>
    </comment>
    <comment ref="A923" authorId="0" shapeId="0" xr:uid="{00000000-0006-0000-0400-000060020000}">
      <text>
        <r>
          <rPr>
            <b/>
            <sz val="9"/>
            <color indexed="81"/>
            <rFont val="Tahoma"/>
            <family val="2"/>
          </rPr>
          <t>Guy:</t>
        </r>
        <r>
          <rPr>
            <sz val="9"/>
            <color indexed="81"/>
            <rFont val="Tahoma"/>
            <family val="2"/>
          </rPr>
          <t xml:space="preserve">
- assume front and courtyard entry garages have materials in section 1</t>
        </r>
      </text>
    </comment>
    <comment ref="D923" authorId="0" shapeId="0" xr:uid="{00000000-0006-0000-0400-000061020000}">
      <text>
        <r>
          <rPr>
            <b/>
            <sz val="9"/>
            <color indexed="81"/>
            <rFont val="Tahoma"/>
            <family val="2"/>
          </rPr>
          <t>Guy:</t>
        </r>
        <r>
          <rPr>
            <sz val="9"/>
            <color indexed="81"/>
            <rFont val="Tahoma"/>
            <family val="2"/>
          </rPr>
          <t xml:space="preserve">
- total sqft adjusted for window package minus garage doors</t>
        </r>
      </text>
    </comment>
    <comment ref="D924" authorId="0" shapeId="0" xr:uid="{00000000-0006-0000-0400-000062020000}">
      <text>
        <r>
          <rPr>
            <b/>
            <sz val="9"/>
            <color indexed="81"/>
            <rFont val="Tahoma"/>
            <family val="2"/>
          </rPr>
          <t>Guy:</t>
        </r>
        <r>
          <rPr>
            <sz val="9"/>
            <color indexed="81"/>
            <rFont val="Tahoma"/>
            <family val="2"/>
          </rPr>
          <t xml:space="preserve">
- labor is less sqft than materials because waste is ordered for materials</t>
        </r>
      </text>
    </comment>
    <comment ref="F927" authorId="2" shapeId="0" xr:uid="{64943956-1EBF-4B73-8468-5D47E7440FCE}">
      <text>
        <r>
          <rPr>
            <b/>
            <sz val="9"/>
            <color indexed="81"/>
            <rFont val="Tahoma"/>
            <family val="2"/>
          </rPr>
          <t>guy barth:</t>
        </r>
        <r>
          <rPr>
            <sz val="9"/>
            <color indexed="81"/>
            <rFont val="Tahoma"/>
            <family val="2"/>
          </rPr>
          <t xml:space="preserve">
- linear feet of house, only 3/4 because front is assumed to be thin stone, and then 30 multplier to estimate cost
- only add brick ledge costs if unfinished or finished basement, not when there is no basement</t>
        </r>
      </text>
    </comment>
    <comment ref="C929" authorId="0" shapeId="0" xr:uid="{00000000-0006-0000-0400-000063020000}">
      <text>
        <r>
          <rPr>
            <b/>
            <sz val="9"/>
            <color indexed="81"/>
            <rFont val="Tahoma"/>
            <family val="2"/>
          </rPr>
          <t xml:space="preserve">Guy:
</t>
        </r>
        <r>
          <rPr>
            <sz val="9"/>
            <color indexed="81"/>
            <rFont val="Tahoma"/>
            <family val="2"/>
          </rPr>
          <t>$1 per sqft adjusted for window package</t>
        </r>
      </text>
    </comment>
    <comment ref="C930" authorId="0" shapeId="0" xr:uid="{00000000-0006-0000-0400-000064020000}">
      <text>
        <r>
          <rPr>
            <b/>
            <sz val="9"/>
            <color indexed="81"/>
            <rFont val="Tahoma"/>
            <family val="2"/>
          </rPr>
          <t>Guy:</t>
        </r>
        <r>
          <rPr>
            <sz val="9"/>
            <color indexed="81"/>
            <rFont val="Tahoma"/>
            <family val="2"/>
          </rPr>
          <t xml:space="preserve">
60 cents a sqft adjusted for window package
- less carpenter labor, but more masonry labor</t>
        </r>
      </text>
    </comment>
    <comment ref="B979" authorId="2" shapeId="0" xr:uid="{371CD24D-B516-4435-97E2-A94A43BEB303}">
      <text>
        <r>
          <rPr>
            <b/>
            <sz val="9"/>
            <color indexed="81"/>
            <rFont val="Tahoma"/>
            <charset val="1"/>
          </rPr>
          <t>guy barth:</t>
        </r>
        <r>
          <rPr>
            <sz val="9"/>
            <color indexed="81"/>
            <rFont val="Tahoma"/>
            <charset val="1"/>
          </rPr>
          <t xml:space="preserve">
</t>
        </r>
      </text>
    </comment>
    <comment ref="B980" authorId="5" shapeId="0" xr:uid="{C005BA3E-BDA9-44EC-BA2E-3FA728E319BC}">
      <text>
        <t>[Threaded comment]
Your version of Excel allows you to read this threaded comment; however, any edits to it will get removed if the file is opened in a newer version of Excel. Learn more: https://go.microsoft.com/fwlink/?linkid=870924
Comment:
    need to adjust pricing to account for a complex/flat roof complexity selection</t>
      </text>
    </comment>
    <comment ref="A981" authorId="0" shapeId="0" xr:uid="{00000000-0006-0000-0400-000065020000}">
      <text>
        <r>
          <rPr>
            <b/>
            <sz val="9"/>
            <color indexed="81"/>
            <rFont val="Tahoma"/>
            <family val="2"/>
          </rPr>
          <t>Guy:</t>
        </r>
        <r>
          <rPr>
            <sz val="9"/>
            <color indexed="81"/>
            <rFont val="Tahoma"/>
            <family val="2"/>
          </rPr>
          <t xml:space="preserve">
roof pricing from Loudoun Valley Roofing Dec 2016
- Builder Shingle - $3.5
- Architectural Shingle - $3.7
- Black Metal - $5.6
- Cedar Shake - $6.6
- Synthetic Slate - $6.75
- Slate - $15</t>
        </r>
      </text>
    </comment>
    <comment ref="B981" authorId="0" shapeId="0" xr:uid="{00000000-0006-0000-0400-000066020000}">
      <text>
        <r>
          <rPr>
            <b/>
            <sz val="9"/>
            <color indexed="81"/>
            <rFont val="Tahoma"/>
            <family val="2"/>
          </rPr>
          <t>Guy:</t>
        </r>
        <r>
          <rPr>
            <sz val="9"/>
            <color indexed="81"/>
            <rFont val="Tahoma"/>
            <family val="2"/>
          </rPr>
          <t xml:space="preserve">
- if a deck/patio roof is included, then that cost is covered under the deck/patio</t>
        </r>
      </text>
    </comment>
    <comment ref="C981" authorId="0" shapeId="0" xr:uid="{00000000-0006-0000-0400-000067020000}">
      <text>
        <r>
          <rPr>
            <b/>
            <sz val="9"/>
            <color indexed="81"/>
            <rFont val="Tahoma"/>
            <family val="2"/>
          </rPr>
          <t>Guy:</t>
        </r>
        <r>
          <rPr>
            <sz val="9"/>
            <color indexed="81"/>
            <rFont val="Tahoma"/>
            <family val="2"/>
          </rPr>
          <t xml:space="preserve">
- walll length equation depends on size of house, how many stories, and garage entry type </t>
        </r>
      </text>
    </comment>
    <comment ref="D981" authorId="0" shapeId="0" xr:uid="{00000000-0006-0000-0400-000068020000}">
      <text>
        <r>
          <rPr>
            <b/>
            <sz val="9"/>
            <color indexed="81"/>
            <rFont val="Tahoma"/>
            <family val="2"/>
          </rPr>
          <t>Guy:</t>
        </r>
        <r>
          <rPr>
            <sz val="9"/>
            <color indexed="81"/>
            <rFont val="Tahoma"/>
            <family val="2"/>
          </rPr>
          <t xml:space="preserve">
- this number also used for insulation, so adjust insulation if this cell is adjusted</t>
        </r>
      </text>
    </comment>
    <comment ref="C1022" authorId="0" shapeId="0" xr:uid="{00000000-0006-0000-0400-000069020000}">
      <text>
        <r>
          <rPr>
            <b/>
            <sz val="9"/>
            <color indexed="81"/>
            <rFont val="Tahoma"/>
            <family val="2"/>
          </rPr>
          <t>Guy:</t>
        </r>
        <r>
          <rPr>
            <sz val="9"/>
            <color indexed="81"/>
            <rFont val="Tahoma"/>
            <family val="2"/>
          </rPr>
          <t xml:space="preserve">
- starts with window quantity determined by window package
- adds windows for sun room. extra windows are sun room are determined by dividing sun room size by 25, and then apply a multipler for the sun room package level.  There aren't more windows for the higher sun room package level, but the windows are larger, and that requires more trim, hence the multiplier
</t>
        </r>
      </text>
    </comment>
    <comment ref="E1022" authorId="0" shapeId="0" xr:uid="{00000000-0006-0000-0400-00006A020000}">
      <text>
        <r>
          <rPr>
            <b/>
            <sz val="9"/>
            <color indexed="81"/>
            <rFont val="Tahoma"/>
            <family val="2"/>
          </rPr>
          <t>Guy:</t>
        </r>
        <r>
          <rPr>
            <sz val="9"/>
            <color indexed="81"/>
            <rFont val="Tahoma"/>
            <family val="2"/>
          </rPr>
          <t xml:space="preserve">
- interior door quanity plus 2 for front/back door plus 1 for basement door.  
- add one for office and loft rooms because those rooms don't already include door quantity under door package
- multiply interior doors by 2 because trim goes on both sides</t>
        </r>
      </text>
    </comment>
    <comment ref="C1024" authorId="0" shapeId="0" xr:uid="{00000000-0006-0000-0400-00006B020000}">
      <text>
        <r>
          <rPr>
            <b/>
            <sz val="9"/>
            <color indexed="81"/>
            <rFont val="Tahoma"/>
            <family val="2"/>
          </rPr>
          <t>Guy:</t>
        </r>
        <r>
          <rPr>
            <sz val="9"/>
            <color indexed="81"/>
            <rFont val="Tahoma"/>
            <family val="2"/>
          </rPr>
          <t xml:space="preserve">
- window quantity counts 2 for doubles and 3 for triples.  however, the trim is less for a double/triple vs. 2/3 singles.  therefore, we made the trim cost per window less to account for this
- prince william window trim was $705 bucks (with tax) for a 4600 sqft plus finished basement house with a silver window package and siilver trim package
- added $1 per window for paint materials</t>
        </r>
      </text>
    </comment>
    <comment ref="C1025" authorId="0" shapeId="0" xr:uid="{00000000-0006-0000-0400-00006C020000}">
      <text>
        <r>
          <rPr>
            <b/>
            <sz val="9"/>
            <color indexed="81"/>
            <rFont val="Tahoma"/>
            <family val="2"/>
          </rPr>
          <t>Guy:</t>
        </r>
        <r>
          <rPr>
            <sz val="9"/>
            <color indexed="81"/>
            <rFont val="Tahoma"/>
            <family val="2"/>
          </rPr>
          <t xml:space="preserve">
10 mins for two carpenters to cut and install
- 15 mins for one painter to fill nail holes, sand and paint two coats</t>
        </r>
      </text>
    </comment>
    <comment ref="C1026" authorId="0" shapeId="0" xr:uid="{00000000-0006-0000-0400-00006D020000}">
      <text>
        <r>
          <rPr>
            <b/>
            <sz val="9"/>
            <color indexed="81"/>
            <rFont val="Tahoma"/>
            <family val="2"/>
          </rPr>
          <t>Guy:</t>
        </r>
        <r>
          <rPr>
            <sz val="9"/>
            <color indexed="81"/>
            <rFont val="Tahoma"/>
            <family val="2"/>
          </rPr>
          <t xml:space="preserve">
- 30 for door trim
- $1 for paint</t>
        </r>
      </text>
    </comment>
    <comment ref="C1027" authorId="0" shapeId="0" xr:uid="{00000000-0006-0000-0400-00006E020000}">
      <text>
        <r>
          <rPr>
            <b/>
            <sz val="9"/>
            <color indexed="81"/>
            <rFont val="Tahoma"/>
            <family val="2"/>
          </rPr>
          <t>Guy:</t>
        </r>
        <r>
          <rPr>
            <sz val="9"/>
            <color indexed="81"/>
            <rFont val="Tahoma"/>
            <family val="2"/>
          </rPr>
          <t xml:space="preserve">
10 mins for two carpenters to cut and install
- 15 mins for one painter to fill nail holes, sand and paint two coats</t>
        </r>
      </text>
    </comment>
    <comment ref="C1028" authorId="0" shapeId="0" xr:uid="{00000000-0006-0000-0400-00006F020000}">
      <text>
        <r>
          <rPr>
            <b/>
            <sz val="9"/>
            <color indexed="81"/>
            <rFont val="Tahoma"/>
            <family val="2"/>
          </rPr>
          <t>Guy:</t>
        </r>
        <r>
          <rPr>
            <sz val="9"/>
            <color indexed="81"/>
            <rFont val="Tahoma"/>
            <family val="2"/>
          </rPr>
          <t xml:space="preserve">
-23 cents per sqft for baseboard
- 2 cents per sqft for paint</t>
        </r>
      </text>
    </comment>
    <comment ref="C1029" authorId="0" shapeId="0" xr:uid="{00000000-0006-0000-0400-000070020000}">
      <text>
        <r>
          <rPr>
            <b/>
            <sz val="9"/>
            <color indexed="81"/>
            <rFont val="Tahoma"/>
            <family val="2"/>
          </rPr>
          <t>Guy:</t>
        </r>
        <r>
          <rPr>
            <sz val="9"/>
            <color indexed="81"/>
            <rFont val="Tahoma"/>
            <family val="2"/>
          </rPr>
          <t xml:space="preserve">
- $55 an hour for two carpenters, takes one day for 3000 sqft to install baseboard
- $25 an hour for one painter, takes one day for 2000 sqft to fill nail holes, sand, and paint baseboard</t>
        </r>
      </text>
    </comment>
    <comment ref="C1032" authorId="0" shapeId="0" xr:uid="{00000000-0006-0000-0400-000071020000}">
      <text>
        <r>
          <rPr>
            <b/>
            <sz val="9"/>
            <color indexed="81"/>
            <rFont val="Tahoma"/>
            <family val="2"/>
          </rPr>
          <t>Guy:</t>
        </r>
        <r>
          <rPr>
            <sz val="9"/>
            <color indexed="81"/>
            <rFont val="Tahoma"/>
            <family val="2"/>
          </rPr>
          <t xml:space="preserve">
- window quantity counts 2 for doubles and 3 for triples.  however, the trim is less for a double/triple vs. 2/3 singles.  therefore, we made the trim cost per window less to account for this
- prince william window trim was $705 bucks (with tax) for a 4600 sqft plus finished basement house with a silver window package and siilver trim package
- added $1 per window for paint materials</t>
        </r>
      </text>
    </comment>
    <comment ref="C1033" authorId="0" shapeId="0" xr:uid="{00000000-0006-0000-0400-000072020000}">
      <text>
        <r>
          <rPr>
            <b/>
            <sz val="9"/>
            <color indexed="81"/>
            <rFont val="Tahoma"/>
            <family val="2"/>
          </rPr>
          <t>Guy:</t>
        </r>
        <r>
          <rPr>
            <sz val="9"/>
            <color indexed="81"/>
            <rFont val="Tahoma"/>
            <family val="2"/>
          </rPr>
          <t xml:space="preserve">
- 15 mins for two carpenters to cut and install
- 15 mins for one painter to fill nail holes, sand and paint two coats</t>
        </r>
      </text>
    </comment>
    <comment ref="C1034" authorId="0" shapeId="0" xr:uid="{00000000-0006-0000-0400-000073020000}">
      <text>
        <r>
          <rPr>
            <b/>
            <sz val="9"/>
            <color indexed="81"/>
            <rFont val="Tahoma"/>
            <family val="2"/>
          </rPr>
          <t>Guy:</t>
        </r>
        <r>
          <rPr>
            <sz val="9"/>
            <color indexed="81"/>
            <rFont val="Tahoma"/>
            <family val="2"/>
          </rPr>
          <t xml:space="preserve">
- 36 for door trim
- $1 for paint</t>
        </r>
      </text>
    </comment>
    <comment ref="C1035" authorId="0" shapeId="0" xr:uid="{00000000-0006-0000-0400-000074020000}">
      <text>
        <r>
          <rPr>
            <b/>
            <sz val="9"/>
            <color indexed="81"/>
            <rFont val="Tahoma"/>
            <family val="2"/>
          </rPr>
          <t>Guy:</t>
        </r>
        <r>
          <rPr>
            <sz val="9"/>
            <color indexed="81"/>
            <rFont val="Tahoma"/>
            <family val="2"/>
          </rPr>
          <t xml:space="preserve">
10 mins for two carpenters to cut and install
- 15 mins for one painter to fill nail holes, sand and paint two coats</t>
        </r>
      </text>
    </comment>
    <comment ref="C1036" authorId="0" shapeId="0" xr:uid="{00000000-0006-0000-0400-000075020000}">
      <text>
        <r>
          <rPr>
            <b/>
            <sz val="9"/>
            <color indexed="81"/>
            <rFont val="Tahoma"/>
            <family val="2"/>
          </rPr>
          <t>Guy:</t>
        </r>
        <r>
          <rPr>
            <sz val="9"/>
            <color indexed="81"/>
            <rFont val="Tahoma"/>
            <family val="2"/>
          </rPr>
          <t xml:space="preserve">
-27 cents per sqft for baseboard
- 2 cents per sqft for paint</t>
        </r>
      </text>
    </comment>
    <comment ref="C1037" authorId="0" shapeId="0" xr:uid="{00000000-0006-0000-0400-000076020000}">
      <text>
        <r>
          <rPr>
            <b/>
            <sz val="9"/>
            <color indexed="81"/>
            <rFont val="Tahoma"/>
            <family val="2"/>
          </rPr>
          <t>Guy:</t>
        </r>
        <r>
          <rPr>
            <sz val="9"/>
            <color indexed="81"/>
            <rFont val="Tahoma"/>
            <family val="2"/>
          </rPr>
          <t xml:space="preserve">
- $55 an hour for two carpenters, takes one day for 3000 sqft to install baseboard
- $25 an hour for one painter, takes one day for 2000 sqft to fill nail holes, sand, and paint baseboard</t>
        </r>
      </text>
    </comment>
    <comment ref="C1040" authorId="0" shapeId="0" xr:uid="{00000000-0006-0000-0400-000077020000}">
      <text>
        <r>
          <rPr>
            <b/>
            <sz val="9"/>
            <color indexed="81"/>
            <rFont val="Tahoma"/>
            <family val="2"/>
          </rPr>
          <t>Guy:</t>
        </r>
        <r>
          <rPr>
            <sz val="9"/>
            <color indexed="81"/>
            <rFont val="Tahoma"/>
            <family val="2"/>
          </rPr>
          <t xml:space="preserve">
- added $2 per window for finishing materials</t>
        </r>
      </text>
    </comment>
    <comment ref="C1041" authorId="0" shapeId="0" xr:uid="{00000000-0006-0000-0400-000078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42" authorId="0" shapeId="0" xr:uid="{00000000-0006-0000-0400-000079020000}">
      <text>
        <r>
          <rPr>
            <b/>
            <sz val="9"/>
            <color indexed="81"/>
            <rFont val="Tahoma"/>
            <family val="2"/>
          </rPr>
          <t>Guy:</t>
        </r>
        <r>
          <rPr>
            <sz val="9"/>
            <color indexed="81"/>
            <rFont val="Tahoma"/>
            <family val="2"/>
          </rPr>
          <t xml:space="preserve">
- 60 for door trim
- $2 for finishing materials</t>
        </r>
      </text>
    </comment>
    <comment ref="C1043" authorId="0" shapeId="0" xr:uid="{00000000-0006-0000-0400-00007A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44" authorId="0" shapeId="0" xr:uid="{00000000-0006-0000-0400-00007B020000}">
      <text>
        <r>
          <rPr>
            <b/>
            <sz val="9"/>
            <color indexed="81"/>
            <rFont val="Tahoma"/>
            <family val="2"/>
          </rPr>
          <t>Guy:</t>
        </r>
        <r>
          <rPr>
            <sz val="9"/>
            <color indexed="81"/>
            <rFont val="Tahoma"/>
            <family val="2"/>
          </rPr>
          <t xml:space="preserve">
-50 cents per sqft for baseboard
- 4 cents per sqft for paint</t>
        </r>
      </text>
    </comment>
    <comment ref="C1045" authorId="0" shapeId="0" xr:uid="{00000000-0006-0000-0400-00007C020000}">
      <text>
        <r>
          <rPr>
            <b/>
            <sz val="9"/>
            <color indexed="81"/>
            <rFont val="Tahoma"/>
            <family val="2"/>
          </rPr>
          <t>Guy:</t>
        </r>
        <r>
          <rPr>
            <sz val="9"/>
            <color indexed="81"/>
            <rFont val="Tahoma"/>
            <family val="2"/>
          </rPr>
          <t xml:space="preserve">
- $55 an hour for two carpenters, takes one day for 1500 sqft to install baseboard
- $25 an hour for one painter, takes one day for 1000 sqft to fill nail holes, sand, and paint baseboard</t>
        </r>
      </text>
    </comment>
    <comment ref="C1048" authorId="0" shapeId="0" xr:uid="{00000000-0006-0000-0400-00007D020000}">
      <text>
        <r>
          <rPr>
            <b/>
            <sz val="9"/>
            <color indexed="81"/>
            <rFont val="Tahoma"/>
            <family val="2"/>
          </rPr>
          <t>Guy:</t>
        </r>
        <r>
          <rPr>
            <sz val="9"/>
            <color indexed="81"/>
            <rFont val="Tahoma"/>
            <family val="2"/>
          </rPr>
          <t xml:space="preserve">
- added $2 per window for finishing materials</t>
        </r>
      </text>
    </comment>
    <comment ref="C1049" authorId="0" shapeId="0" xr:uid="{00000000-0006-0000-0400-00007E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50" authorId="0" shapeId="0" xr:uid="{00000000-0006-0000-0400-00007F020000}">
      <text>
        <r>
          <rPr>
            <b/>
            <sz val="9"/>
            <color indexed="81"/>
            <rFont val="Tahoma"/>
            <family val="2"/>
          </rPr>
          <t>Guy:</t>
        </r>
        <r>
          <rPr>
            <sz val="9"/>
            <color indexed="81"/>
            <rFont val="Tahoma"/>
            <family val="2"/>
          </rPr>
          <t xml:space="preserve">
- 90 for door trim
- $2 for finishing materials</t>
        </r>
      </text>
    </comment>
    <comment ref="C1051" authorId="0" shapeId="0" xr:uid="{00000000-0006-0000-0400-000080020000}">
      <text>
        <r>
          <rPr>
            <b/>
            <sz val="9"/>
            <color indexed="81"/>
            <rFont val="Tahoma"/>
            <family val="2"/>
          </rPr>
          <t>Guy:</t>
        </r>
        <r>
          <rPr>
            <sz val="9"/>
            <color indexed="81"/>
            <rFont val="Tahoma"/>
            <family val="2"/>
          </rPr>
          <t xml:space="preserve">
-20 mins for two carpenters to cut and install
- 30 mins for one painter to fill nail holes, sand and finish</t>
        </r>
      </text>
    </comment>
    <comment ref="C1052" authorId="0" shapeId="0" xr:uid="{00000000-0006-0000-0400-000081020000}">
      <text>
        <r>
          <rPr>
            <b/>
            <sz val="9"/>
            <color indexed="81"/>
            <rFont val="Tahoma"/>
            <family val="2"/>
          </rPr>
          <t>Guy:</t>
        </r>
        <r>
          <rPr>
            <sz val="9"/>
            <color indexed="81"/>
            <rFont val="Tahoma"/>
            <family val="2"/>
          </rPr>
          <t xml:space="preserve">
-75 cents per sqft for baseboard
- 4 cents per sqft for paint</t>
        </r>
      </text>
    </comment>
    <comment ref="C1053" authorId="0" shapeId="0" xr:uid="{00000000-0006-0000-0400-000082020000}">
      <text>
        <r>
          <rPr>
            <b/>
            <sz val="9"/>
            <color indexed="81"/>
            <rFont val="Tahoma"/>
            <family val="2"/>
          </rPr>
          <t>Guy:</t>
        </r>
        <r>
          <rPr>
            <sz val="9"/>
            <color indexed="81"/>
            <rFont val="Tahoma"/>
            <family val="2"/>
          </rPr>
          <t xml:space="preserve">
- $55 an hour for two carpenters, takes one day for 1500 sqft to install baseboard
- $25 an hour for one painter, takes one day for 1000 sqft to fill nail holes, sand, and paint baseboard</t>
        </r>
      </text>
    </comment>
    <comment ref="D1060" authorId="0" shapeId="0" xr:uid="{00000000-0006-0000-0400-000083020000}">
      <text>
        <r>
          <rPr>
            <b/>
            <sz val="9"/>
            <color indexed="81"/>
            <rFont val="Tahoma"/>
            <family val="2"/>
          </rPr>
          <t>Guy:</t>
        </r>
        <r>
          <rPr>
            <sz val="9"/>
            <color indexed="81"/>
            <rFont val="Tahoma"/>
            <family val="2"/>
          </rPr>
          <t xml:space="preserve">
if there is a fiinished basement and 2nd floor, and there is less than 4500 (single system) then the costs are more expensive because of duct lines needing to be run on two floors.  </t>
        </r>
      </text>
    </comment>
    <comment ref="D1061" authorId="0" shapeId="0" xr:uid="{00000000-0006-0000-0400-000085020000}">
      <text>
        <r>
          <rPr>
            <b/>
            <sz val="9"/>
            <color indexed="81"/>
            <rFont val="Tahoma"/>
            <family val="2"/>
          </rPr>
          <t>Guy:</t>
        </r>
        <r>
          <rPr>
            <sz val="9"/>
            <color indexed="81"/>
            <rFont val="Tahoma"/>
            <family val="2"/>
          </rPr>
          <t xml:space="preserve">
- second system costs for larger house</t>
        </r>
      </text>
    </comment>
    <comment ref="C1068" authorId="0" shapeId="0" xr:uid="{00000000-0006-0000-0400-000086020000}">
      <text>
        <r>
          <rPr>
            <b/>
            <sz val="9"/>
            <color indexed="81"/>
            <rFont val="Tahoma"/>
            <family val="2"/>
          </rPr>
          <t>Guy:</t>
        </r>
        <r>
          <rPr>
            <sz val="9"/>
            <color indexed="81"/>
            <rFont val="Tahoma"/>
            <family val="2"/>
          </rPr>
          <t xml:space="preserve">
2nd system if more than 2500 sqft or 3 finished floors </t>
        </r>
      </text>
    </comment>
    <comment ref="D1068" authorId="0" shapeId="0" xr:uid="{00000000-0006-0000-0400-000087020000}">
      <text>
        <r>
          <rPr>
            <b/>
            <sz val="9"/>
            <color indexed="81"/>
            <rFont val="Tahoma"/>
            <family val="2"/>
          </rPr>
          <t>Guy:</t>
        </r>
        <r>
          <rPr>
            <sz val="9"/>
            <color indexed="81"/>
            <rFont val="Tahoma"/>
            <family val="2"/>
          </rPr>
          <t xml:space="preserve">
- always one cost because 2nd zone costs picked up with second system costs or with zoning costs</t>
        </r>
      </text>
    </comment>
    <comment ref="C1069" authorId="0" shapeId="0" xr:uid="{35AE6B4E-2504-4841-B852-182AB856D913}">
      <text>
        <r>
          <rPr>
            <b/>
            <sz val="9"/>
            <color indexed="81"/>
            <rFont val="Tahoma"/>
            <family val="2"/>
          </rPr>
          <t>Guy:</t>
        </r>
        <r>
          <rPr>
            <sz val="9"/>
            <color indexed="81"/>
            <rFont val="Tahoma"/>
            <family val="2"/>
          </rPr>
          <t xml:space="preserve">
2nd system if more than 2500 sqft or 3 finished floors </t>
        </r>
      </text>
    </comment>
    <comment ref="D1069" authorId="0" shapeId="0" xr:uid="{00000000-0006-0000-0400-000089020000}">
      <text>
        <r>
          <rPr>
            <b/>
            <sz val="9"/>
            <color indexed="81"/>
            <rFont val="Tahoma"/>
            <family val="2"/>
          </rPr>
          <t>Guy:</t>
        </r>
        <r>
          <rPr>
            <sz val="9"/>
            <color indexed="81"/>
            <rFont val="Tahoma"/>
            <family val="2"/>
          </rPr>
          <t xml:space="preserve">
2nd system if more than 2500 sqft or 3 finished floors </t>
        </r>
      </text>
    </comment>
    <comment ref="C1072" authorId="0" shapeId="0" xr:uid="{00000000-0006-0000-0400-00008A020000}">
      <text>
        <r>
          <rPr>
            <b/>
            <sz val="9"/>
            <color indexed="81"/>
            <rFont val="Tahoma"/>
            <family val="2"/>
          </rPr>
          <t>Guy:</t>
        </r>
        <r>
          <rPr>
            <sz val="9"/>
            <color indexed="81"/>
            <rFont val="Tahoma"/>
            <family val="2"/>
          </rPr>
          <t xml:space="preserve">
- larger single system for less than 2500 and only two floors vs. two systems for a larger house or one with three floors </t>
        </r>
      </text>
    </comment>
    <comment ref="C1076" authorId="0" shapeId="0" xr:uid="{B7466D51-8DBD-429C-A119-C2259AA2AD31}">
      <text>
        <r>
          <rPr>
            <b/>
            <sz val="9"/>
            <color indexed="81"/>
            <rFont val="Tahoma"/>
            <family val="2"/>
          </rPr>
          <t>Guy:</t>
        </r>
        <r>
          <rPr>
            <sz val="9"/>
            <color indexed="81"/>
            <rFont val="Tahoma"/>
            <family val="2"/>
          </rPr>
          <t xml:space="preserve">
2nd system if more than 2500 sqft or 3 finished floors </t>
        </r>
      </text>
    </comment>
    <comment ref="C1077" authorId="0" shapeId="0" xr:uid="{3C04A6D5-DCD2-48E3-BDA4-FD951C46AA74}">
      <text>
        <r>
          <rPr>
            <b/>
            <sz val="9"/>
            <color indexed="81"/>
            <rFont val="Tahoma"/>
            <family val="2"/>
          </rPr>
          <t>Guy:</t>
        </r>
        <r>
          <rPr>
            <sz val="9"/>
            <color indexed="81"/>
            <rFont val="Tahoma"/>
            <family val="2"/>
          </rPr>
          <t xml:space="preserve">
2nd system if more than 2500 sqft or 3 finished floors </t>
        </r>
      </text>
    </comment>
    <comment ref="C1080" authorId="0" shapeId="0" xr:uid="{00000000-0006-0000-0400-00008B020000}">
      <text>
        <r>
          <rPr>
            <b/>
            <sz val="9"/>
            <color indexed="81"/>
            <rFont val="Tahoma"/>
            <family val="2"/>
          </rPr>
          <t>Guy:</t>
        </r>
        <r>
          <rPr>
            <sz val="9"/>
            <color indexed="81"/>
            <rFont val="Tahoma"/>
            <family val="2"/>
          </rPr>
          <t xml:space="preserve">
- one additional zone on top of systems if &lt; 2500, two additional zones otherwise</t>
        </r>
      </text>
    </comment>
    <comment ref="C1084" authorId="0" shapeId="0" xr:uid="{7F55112D-BE11-4FF4-B5D6-CD3E63FE6605}">
      <text>
        <r>
          <rPr>
            <b/>
            <sz val="9"/>
            <color indexed="81"/>
            <rFont val="Tahoma"/>
            <family val="2"/>
          </rPr>
          <t>Guy:</t>
        </r>
        <r>
          <rPr>
            <sz val="9"/>
            <color indexed="81"/>
            <rFont val="Tahoma"/>
            <family val="2"/>
          </rPr>
          <t xml:space="preserve">
2nd system if more than 2500 sqft or 3 finished floors </t>
        </r>
      </text>
    </comment>
    <comment ref="C1085" authorId="0" shapeId="0" xr:uid="{4BB9D3E5-0947-42C8-B5F5-1869B08FF6BD}">
      <text>
        <r>
          <rPr>
            <b/>
            <sz val="9"/>
            <color indexed="81"/>
            <rFont val="Tahoma"/>
            <family val="2"/>
          </rPr>
          <t>Guy:</t>
        </r>
        <r>
          <rPr>
            <sz val="9"/>
            <color indexed="81"/>
            <rFont val="Tahoma"/>
            <family val="2"/>
          </rPr>
          <t xml:space="preserve">
2nd system if more than 2500 sqft or 3 finished floors </t>
        </r>
      </text>
    </comment>
    <comment ref="C1093" authorId="0" shapeId="0" xr:uid="{00000000-0006-0000-0400-00008C020000}">
      <text>
        <r>
          <rPr>
            <b/>
            <sz val="9"/>
            <color indexed="81"/>
            <rFont val="Tahoma"/>
            <family val="2"/>
          </rPr>
          <t>Guy:</t>
        </r>
        <r>
          <rPr>
            <sz val="9"/>
            <color indexed="81"/>
            <rFont val="Tahoma"/>
            <family val="2"/>
          </rPr>
          <t xml:space="preserve">
wall linear feet (not including height)
T is total square feet of first two floors
G is total square feet of garage
equations assume square homes (close enough if house is rectangle)
1 story front or side entry - 4*sqrt(T+G)
1 story courtyard garage entry - 4*sqrt(T) + 2*sqrt(G)
2 story front or side entry - 4*sqrt((T+G)/2)
2 story courtyard garage entry - 4*sqrt(((T+G)/2)-G) + 2*sqrt(G)
- if basement garage - 4 *sqrt (T)</t>
        </r>
      </text>
    </comment>
    <comment ref="D1093" authorId="0" shapeId="0" xr:uid="{00000000-0006-0000-0400-00008D020000}">
      <text>
        <r>
          <rPr>
            <b/>
            <sz val="9"/>
            <color indexed="81"/>
            <rFont val="Tahoma"/>
            <family val="2"/>
          </rPr>
          <t>Guy:</t>
        </r>
        <r>
          <rPr>
            <sz val="9"/>
            <color indexed="81"/>
            <rFont val="Tahoma"/>
            <family val="2"/>
          </rPr>
          <t xml:space="preserve">
- height of wall is floor heights plus 1 foot per extra floor for joists (basement included)</t>
        </r>
      </text>
    </comment>
    <comment ref="B1095" authorId="0" shapeId="0" xr:uid="{00000000-0006-0000-0400-00008E020000}">
      <text>
        <r>
          <rPr>
            <b/>
            <sz val="9"/>
            <color indexed="81"/>
            <rFont val="Tahoma"/>
            <family val="2"/>
          </rPr>
          <t>Guy:</t>
        </r>
        <r>
          <rPr>
            <sz val="9"/>
            <color indexed="81"/>
            <rFont val="Tahoma"/>
            <family val="2"/>
          </rPr>
          <t xml:space="preserve">
- assume a middle ground between virgnia and maryland
- ceiling maryland is r-49
- walls maryland r-20
- ceiling virginia is r-38
- walls virginia is r-13</t>
        </r>
      </text>
    </comment>
    <comment ref="D1096" authorId="0" shapeId="0" xr:uid="{00000000-0006-0000-0400-00008F020000}">
      <text>
        <r>
          <rPr>
            <b/>
            <sz val="9"/>
            <color indexed="81"/>
            <rFont val="Tahoma"/>
            <family val="2"/>
          </rPr>
          <t>Guy:</t>
        </r>
        <r>
          <rPr>
            <sz val="9"/>
            <color indexed="81"/>
            <rFont val="Tahoma"/>
            <family val="2"/>
          </rPr>
          <t xml:space="preserve">
- includes cost of batt insulation, air sealing, fire sealing, and misc insulation like garage knee walls, under A/C platforms, garage ceiling. Etc..
</t>
        </r>
      </text>
    </comment>
    <comment ref="D1098" authorId="0" shapeId="0" xr:uid="{00000000-0006-0000-0400-000090020000}">
      <text>
        <r>
          <rPr>
            <b/>
            <sz val="9"/>
            <color indexed="81"/>
            <rFont val="Tahoma"/>
            <family val="2"/>
          </rPr>
          <t>Guy:</t>
        </r>
        <r>
          <rPr>
            <sz val="9"/>
            <color indexed="81"/>
            <rFont val="Tahoma"/>
            <family val="2"/>
          </rPr>
          <t xml:space="preserve">
- 58 cents a sqft for blow-in, $1 a sqft for spray for loft or vaulted ceiling</t>
        </r>
      </text>
    </comment>
    <comment ref="D1099" authorId="0" shapeId="0" xr:uid="{00000000-0006-0000-0400-000091020000}">
      <text>
        <r>
          <rPr>
            <b/>
            <sz val="9"/>
            <color indexed="81"/>
            <rFont val="Tahoma"/>
            <family val="2"/>
          </rPr>
          <t>Guy:</t>
        </r>
        <r>
          <rPr>
            <sz val="9"/>
            <color indexed="81"/>
            <rFont val="Tahoma"/>
            <family val="2"/>
          </rPr>
          <t xml:space="preserve">
- insulation included in SIP Wall, but still require insulation above garage, air seal, fire seal, etc..</t>
        </r>
      </text>
    </comment>
    <comment ref="D1101" authorId="0" shapeId="0" xr:uid="{00000000-0006-0000-0400-000092020000}">
      <text>
        <r>
          <rPr>
            <b/>
            <sz val="9"/>
            <color indexed="81"/>
            <rFont val="Tahoma"/>
            <family val="2"/>
          </rPr>
          <t>Guy:</t>
        </r>
        <r>
          <rPr>
            <sz val="9"/>
            <color indexed="81"/>
            <rFont val="Tahoma"/>
            <family val="2"/>
          </rPr>
          <t xml:space="preserve">
- 58 cents a sqft for blow-in, $1 a sqft for sip roof for loft or vaulted ceiling</t>
        </r>
      </text>
    </comment>
    <comment ref="D1102" authorId="0" shapeId="0" xr:uid="{00000000-0006-0000-0400-000093020000}">
      <text>
        <r>
          <rPr>
            <b/>
            <sz val="9"/>
            <color indexed="81"/>
            <rFont val="Tahoma"/>
            <family val="2"/>
          </rPr>
          <t>Guy:</t>
        </r>
        <r>
          <rPr>
            <sz val="9"/>
            <color indexed="81"/>
            <rFont val="Tahoma"/>
            <family val="2"/>
          </rPr>
          <t xml:space="preserve">
</t>
        </r>
      </text>
    </comment>
    <comment ref="D1104" authorId="0" shapeId="0" xr:uid="{00000000-0006-0000-0400-000094020000}">
      <text>
        <r>
          <rPr>
            <b/>
            <sz val="9"/>
            <color indexed="81"/>
            <rFont val="Tahoma"/>
            <family val="2"/>
          </rPr>
          <t>Guy:</t>
        </r>
        <r>
          <rPr>
            <sz val="9"/>
            <color indexed="81"/>
            <rFont val="Tahoma"/>
            <family val="2"/>
          </rPr>
          <t xml:space="preserve">
- 58 cents a sqft for blow-in, $1 a sqft for spray for loft or vaulted ceiling</t>
        </r>
      </text>
    </comment>
    <comment ref="D1105" authorId="0" shapeId="0" xr:uid="{00000000-0006-0000-0400-000095020000}">
      <text>
        <r>
          <rPr>
            <b/>
            <sz val="9"/>
            <color indexed="81"/>
            <rFont val="Tahoma"/>
            <family val="2"/>
          </rPr>
          <t>Guy:</t>
        </r>
        <r>
          <rPr>
            <sz val="9"/>
            <color indexed="81"/>
            <rFont val="Tahoma"/>
            <family val="2"/>
          </rPr>
          <t xml:space="preserve">
- includes cost of batt insulation, air sealing, fire sealing, and misc insulation like garage knee walls, under A/C platforms, garage ceiling. Etc..
</t>
        </r>
      </text>
    </comment>
    <comment ref="D1107" authorId="0" shapeId="0" xr:uid="{00000000-0006-0000-0400-000096020000}">
      <text>
        <r>
          <rPr>
            <b/>
            <sz val="9"/>
            <color indexed="81"/>
            <rFont val="Tahoma"/>
            <family val="2"/>
          </rPr>
          <t>Guy:</t>
        </r>
        <r>
          <rPr>
            <sz val="9"/>
            <color indexed="81"/>
            <rFont val="Tahoma"/>
            <family val="2"/>
          </rPr>
          <t xml:space="preserve">
- 58 cents a sqft for blow-in, $1 a sqft for spray for loft or vaulted ceiling</t>
        </r>
      </text>
    </comment>
    <comment ref="D1112" authorId="0" shapeId="0" xr:uid="{00000000-0006-0000-0400-000097020000}">
      <text>
        <r>
          <rPr>
            <b/>
            <sz val="9"/>
            <color indexed="81"/>
            <rFont val="Tahoma"/>
            <family val="2"/>
          </rPr>
          <t>Guy:</t>
        </r>
        <r>
          <rPr>
            <sz val="9"/>
            <color indexed="81"/>
            <rFont val="Tahoma"/>
            <family val="2"/>
          </rPr>
          <t xml:space="preserve">
- 50 cents a sqft for increasing from 2x4 to exterior lumber
- 20 cents increase for increasing R value
- 100 cents for spray foam of rim joists, overhangs, and floors of rooms above garage</t>
        </r>
      </text>
    </comment>
    <comment ref="D1114" authorId="0" shapeId="0" xr:uid="{00000000-0006-0000-0400-000098020000}">
      <text>
        <r>
          <rPr>
            <b/>
            <sz val="9"/>
            <color indexed="81"/>
            <rFont val="Tahoma"/>
            <family val="2"/>
          </rPr>
          <t>Guy:</t>
        </r>
        <r>
          <rPr>
            <sz val="9"/>
            <color indexed="81"/>
            <rFont val="Tahoma"/>
            <family val="2"/>
          </rPr>
          <t xml:space="preserve">
-20 cents extra for air seal
- 10 cents extra for more blow-in
- 30 cents extra for more spray if lot or vaulted ceiliing</t>
        </r>
      </text>
    </comment>
    <comment ref="D1115" authorId="0" shapeId="0" xr:uid="{00000000-0006-0000-0400-000099020000}">
      <text>
        <r>
          <rPr>
            <b/>
            <sz val="9"/>
            <color indexed="81"/>
            <rFont val="Tahoma"/>
            <family val="2"/>
          </rPr>
          <t>Guy:</t>
        </r>
        <r>
          <rPr>
            <sz val="9"/>
            <color indexed="81"/>
            <rFont val="Tahoma"/>
            <family val="2"/>
          </rPr>
          <t xml:space="preserve">
- 40 cents a sqft to increase the panel thickness from r-16 to r-24
- add another 10 cents for additoinal costs elsewhere </t>
        </r>
      </text>
    </comment>
    <comment ref="D1117" authorId="0" shapeId="0" xr:uid="{00000000-0006-0000-0400-00009A020000}">
      <text>
        <r>
          <rPr>
            <b/>
            <sz val="9"/>
            <color indexed="81"/>
            <rFont val="Tahoma"/>
            <family val="2"/>
          </rPr>
          <t>Guy:
-20 cents extra for air seal
- 10 cents extra for more blow-in
- 30 cents extra for more spray if lot or vaulted ceiliing</t>
        </r>
      </text>
    </comment>
    <comment ref="D1120" authorId="0" shapeId="0" xr:uid="{00000000-0006-0000-0400-00009B020000}">
      <text>
        <r>
          <rPr>
            <b/>
            <sz val="9"/>
            <color indexed="81"/>
            <rFont val="Tahoma"/>
            <family val="2"/>
          </rPr>
          <t>Guy:</t>
        </r>
        <r>
          <rPr>
            <sz val="9"/>
            <color indexed="81"/>
            <rFont val="Tahoma"/>
            <family val="2"/>
          </rPr>
          <t xml:space="preserve">
-20 cents extra for air seal
- 10 cents extra for more blow-in
- 30 cents extra for more spray if lot or vaulted ceiliing</t>
        </r>
      </text>
    </comment>
    <comment ref="D1121" authorId="0" shapeId="0" xr:uid="{00000000-0006-0000-0400-00009C020000}">
      <text>
        <r>
          <rPr>
            <b/>
            <sz val="9"/>
            <color indexed="81"/>
            <rFont val="Tahoma"/>
            <family val="2"/>
          </rPr>
          <t>Guy:</t>
        </r>
        <r>
          <rPr>
            <sz val="9"/>
            <color indexed="81"/>
            <rFont val="Tahoma"/>
            <family val="2"/>
          </rPr>
          <t xml:space="preserve">
- 50 cents a sqft for increasing from 2x4 to exterior lumber
- 20 cents increase for increasing R value</t>
        </r>
      </text>
    </comment>
    <comment ref="D1123" authorId="0" shapeId="0" xr:uid="{00000000-0006-0000-0400-00009D020000}">
      <text>
        <r>
          <rPr>
            <b/>
            <sz val="9"/>
            <color indexed="81"/>
            <rFont val="Tahoma"/>
            <family val="2"/>
          </rPr>
          <t>Guy:</t>
        </r>
        <r>
          <rPr>
            <sz val="9"/>
            <color indexed="81"/>
            <rFont val="Tahoma"/>
            <family val="2"/>
          </rPr>
          <t xml:space="preserve">
-20 cents extra for air seal
- 10 cents extra for more blow-in
- 30 cents extra for more spray if lot or vaulted ceiliing</t>
        </r>
      </text>
    </comment>
    <comment ref="D1128" authorId="0" shapeId="0" xr:uid="{00000000-0006-0000-0400-00009E020000}">
      <text>
        <r>
          <rPr>
            <b/>
            <sz val="9"/>
            <color indexed="81"/>
            <rFont val="Tahoma"/>
            <family val="2"/>
          </rPr>
          <t>Guy:</t>
        </r>
        <r>
          <rPr>
            <sz val="9"/>
            <color indexed="81"/>
            <rFont val="Tahoma"/>
            <family val="2"/>
          </rPr>
          <t xml:space="preserve">
- 1.15 a sqft for 1.5" of closed cell
- 35 cents for zip sheathing</t>
        </r>
      </text>
    </comment>
    <comment ref="D1129" authorId="0" shapeId="0" xr:uid="{00000000-0006-0000-0400-00009F020000}">
      <text>
        <r>
          <rPr>
            <b/>
            <sz val="9"/>
            <color indexed="81"/>
            <rFont val="Tahoma"/>
            <family val="2"/>
          </rPr>
          <t>Guy:</t>
        </r>
        <r>
          <rPr>
            <sz val="9"/>
            <color indexed="81"/>
            <rFont val="Tahoma"/>
            <family val="2"/>
          </rPr>
          <t xml:space="preserve">
- 50 cents a sqft for 1/2" of closed cell</t>
        </r>
      </text>
    </comment>
    <comment ref="D1130" authorId="0" shapeId="0" xr:uid="{00000000-0006-0000-0400-0000A0020000}">
      <text>
        <r>
          <rPr>
            <b/>
            <sz val="9"/>
            <color indexed="81"/>
            <rFont val="Tahoma"/>
            <family val="2"/>
          </rPr>
          <t>Guy:</t>
        </r>
        <r>
          <rPr>
            <sz val="9"/>
            <color indexed="81"/>
            <rFont val="Tahoma"/>
            <family val="2"/>
          </rPr>
          <t xml:space="preserve">
- 15 cents extra for more blow-in/spray
- 40 cents for more spray for loft or vaulted ceiiling</t>
        </r>
      </text>
    </comment>
    <comment ref="D1131" authorId="0" shapeId="0" xr:uid="{00000000-0006-0000-0400-0000A1020000}">
      <text>
        <r>
          <rPr>
            <b/>
            <sz val="9"/>
            <color indexed="81"/>
            <rFont val="Tahoma"/>
            <family val="2"/>
          </rPr>
          <t>Guy:</t>
        </r>
        <r>
          <rPr>
            <sz val="9"/>
            <color indexed="81"/>
            <rFont val="Tahoma"/>
            <family val="2"/>
          </rPr>
          <t xml:space="preserve">
- 45 cents a sqft to increase the panel thickness from r-24 to r-32
- 35 cents a sqft for zip sheathing built-in to panel 
- another 10 cents a sqft added for additional misc insulation</t>
        </r>
      </text>
    </comment>
    <comment ref="D1132" authorId="0" shapeId="0" xr:uid="{00000000-0006-0000-0400-0000A2020000}">
      <text>
        <r>
          <rPr>
            <b/>
            <sz val="9"/>
            <color indexed="81"/>
            <rFont val="Tahoma"/>
            <family val="2"/>
          </rPr>
          <t>Guy:</t>
        </r>
        <r>
          <rPr>
            <sz val="9"/>
            <color indexed="81"/>
            <rFont val="Tahoma"/>
            <family val="2"/>
          </rPr>
          <t xml:space="preserve">
- 50 cents a sqft for 1/2 closed cell</t>
        </r>
      </text>
    </comment>
    <comment ref="D1133" authorId="0" shapeId="0" xr:uid="{00000000-0006-0000-0400-0000A3020000}">
      <text>
        <r>
          <rPr>
            <b/>
            <sz val="9"/>
            <color indexed="81"/>
            <rFont val="Tahoma"/>
            <family val="2"/>
          </rPr>
          <t>Guy:</t>
        </r>
        <r>
          <rPr>
            <sz val="9"/>
            <color indexed="81"/>
            <rFont val="Tahoma"/>
            <family val="2"/>
          </rPr>
          <t xml:space="preserve">
- 15 cents extra for more blow-in/spray</t>
        </r>
      </text>
    </comment>
    <comment ref="D1136" authorId="0" shapeId="0" xr:uid="{00000000-0006-0000-0400-0000A4020000}">
      <text>
        <r>
          <rPr>
            <b/>
            <sz val="9"/>
            <color indexed="81"/>
            <rFont val="Tahoma"/>
            <family val="2"/>
          </rPr>
          <t>Guy:</t>
        </r>
        <r>
          <rPr>
            <sz val="9"/>
            <color indexed="81"/>
            <rFont val="Tahoma"/>
            <family val="2"/>
          </rPr>
          <t xml:space="preserve">
- 15 cents extra for more blow-in/spray
- 40 cents for more spray for loft or vaulted ceiiling</t>
        </r>
      </text>
    </comment>
    <comment ref="D1137" authorId="0" shapeId="0" xr:uid="{00000000-0006-0000-0400-0000A5020000}">
      <text>
        <r>
          <rPr>
            <b/>
            <sz val="9"/>
            <color indexed="81"/>
            <rFont val="Tahoma"/>
            <family val="2"/>
          </rPr>
          <t>Guy:</t>
        </r>
        <r>
          <rPr>
            <sz val="9"/>
            <color indexed="81"/>
            <rFont val="Tahoma"/>
            <family val="2"/>
          </rPr>
          <t xml:space="preserve">
- 1.15 a sqft for 1.5" of closed cell
- 35 cents for zip sheathing</t>
        </r>
      </text>
    </comment>
    <comment ref="D1138" authorId="0" shapeId="0" xr:uid="{00000000-0006-0000-0400-0000A6020000}">
      <text>
        <r>
          <rPr>
            <b/>
            <sz val="9"/>
            <color indexed="81"/>
            <rFont val="Tahoma"/>
            <family val="2"/>
          </rPr>
          <t>Guy:</t>
        </r>
        <r>
          <rPr>
            <sz val="9"/>
            <color indexed="81"/>
            <rFont val="Tahoma"/>
            <family val="2"/>
          </rPr>
          <t xml:space="preserve">
- 50 cents a sqft for 1/2" of closed cell</t>
        </r>
      </text>
    </comment>
    <comment ref="D1139" authorId="0" shapeId="0" xr:uid="{00000000-0006-0000-0400-0000A7020000}">
      <text>
        <r>
          <rPr>
            <b/>
            <sz val="9"/>
            <color indexed="81"/>
            <rFont val="Tahoma"/>
            <family val="2"/>
          </rPr>
          <t>Guy:</t>
        </r>
        <r>
          <rPr>
            <sz val="9"/>
            <color indexed="81"/>
            <rFont val="Tahoma"/>
            <family val="2"/>
          </rPr>
          <t xml:space="preserve">
- 15 cents extra for more blow-in/spray
- 40 cents for more spray for loft or vaulted ceiiling</t>
        </r>
      </text>
    </comment>
    <comment ref="D1144" authorId="0" shapeId="0" xr:uid="{00000000-0006-0000-0400-0000A8020000}">
      <text>
        <r>
          <rPr>
            <b/>
            <sz val="9"/>
            <color indexed="81"/>
            <rFont val="Tahoma"/>
            <family val="2"/>
          </rPr>
          <t>Guy:</t>
        </r>
        <r>
          <rPr>
            <sz val="9"/>
            <color indexed="81"/>
            <rFont val="Tahoma"/>
            <family val="2"/>
          </rPr>
          <t xml:space="preserve">
- 3 a sqft for 3" of closed cell
- $1 a sqft for rigid foam installed
- 35 cents for zip sheathing</t>
        </r>
      </text>
    </comment>
    <comment ref="D1145" authorId="0" shapeId="0" xr:uid="{00000000-0006-0000-0400-0000A9020000}">
      <text>
        <r>
          <rPr>
            <b/>
            <sz val="9"/>
            <color indexed="81"/>
            <rFont val="Tahoma"/>
            <family val="2"/>
          </rPr>
          <t>Guy:</t>
        </r>
        <r>
          <rPr>
            <sz val="9"/>
            <color indexed="81"/>
            <rFont val="Tahoma"/>
            <family val="2"/>
          </rPr>
          <t xml:space="preserve">
- $3 a sqft for 3" of closed cell
</t>
        </r>
      </text>
    </comment>
    <comment ref="D1146" authorId="0" shapeId="0" xr:uid="{00000000-0006-0000-0400-0000AA020000}">
      <text>
        <r>
          <rPr>
            <b/>
            <sz val="9"/>
            <color indexed="81"/>
            <rFont val="Tahoma"/>
            <family val="2"/>
          </rPr>
          <t>Guy:</t>
        </r>
        <r>
          <rPr>
            <sz val="9"/>
            <color indexed="81"/>
            <rFont val="Tahoma"/>
            <family val="2"/>
          </rPr>
          <t xml:space="preserve">
- 15 cents extra for more blow-in/spray</t>
        </r>
      </text>
    </comment>
    <comment ref="D1147" authorId="0" shapeId="0" xr:uid="{00000000-0006-0000-0400-0000AB020000}">
      <text>
        <r>
          <rPr>
            <b/>
            <sz val="9"/>
            <color indexed="81"/>
            <rFont val="Tahoma"/>
            <family val="2"/>
          </rPr>
          <t>Guy:</t>
        </r>
        <r>
          <rPr>
            <sz val="9"/>
            <color indexed="81"/>
            <rFont val="Tahoma"/>
            <family val="2"/>
          </rPr>
          <t xml:space="preserve">
- 75 cents a sqft to increase the panel thickness from r-32 to r-48
- another 10 cents a sqft added for additional misc insulation</t>
        </r>
      </text>
    </comment>
    <comment ref="D1148" authorId="0" shapeId="0" xr:uid="{00000000-0006-0000-0400-0000AC020000}">
      <text>
        <r>
          <rPr>
            <b/>
            <sz val="9"/>
            <color indexed="81"/>
            <rFont val="Tahoma"/>
            <family val="2"/>
          </rPr>
          <t>Guy:</t>
        </r>
        <r>
          <rPr>
            <sz val="9"/>
            <color indexed="81"/>
            <rFont val="Tahoma"/>
            <family val="2"/>
          </rPr>
          <t xml:space="preserve">
- $3 a sqft for 3" of closed cell
</t>
        </r>
      </text>
    </comment>
    <comment ref="D1149" authorId="0" shapeId="0" xr:uid="{00000000-0006-0000-0400-0000AD020000}">
      <text>
        <r>
          <rPr>
            <b/>
            <sz val="9"/>
            <color indexed="81"/>
            <rFont val="Tahoma"/>
            <family val="2"/>
          </rPr>
          <t>Guy:</t>
        </r>
        <r>
          <rPr>
            <sz val="9"/>
            <color indexed="81"/>
            <rFont val="Tahoma"/>
            <family val="2"/>
          </rPr>
          <t xml:space="preserve">
- 15 cents extra for more blow-in/spray</t>
        </r>
      </text>
    </comment>
    <comment ref="D1150" authorId="0" shapeId="0" xr:uid="{00000000-0006-0000-0400-0000AE020000}">
      <text>
        <r>
          <rPr>
            <b/>
            <sz val="9"/>
            <color indexed="81"/>
            <rFont val="Tahoma"/>
            <family val="2"/>
          </rPr>
          <t>Guy:</t>
        </r>
        <r>
          <rPr>
            <sz val="9"/>
            <color indexed="81"/>
            <rFont val="Tahoma"/>
            <family val="2"/>
          </rPr>
          <t xml:space="preserve">
- assuming ICF will be about $4 more per sqft of wall vs. cinder block.  This includes the increased trades cost with the interior</t>
        </r>
      </text>
    </comment>
    <comment ref="D1151" authorId="0" shapeId="0" xr:uid="{00000000-0006-0000-0400-0000AF020000}">
      <text>
        <r>
          <rPr>
            <b/>
            <sz val="9"/>
            <color indexed="81"/>
            <rFont val="Tahoma"/>
            <family val="2"/>
          </rPr>
          <t>Guy:</t>
        </r>
        <r>
          <rPr>
            <sz val="9"/>
            <color indexed="81"/>
            <rFont val="Tahoma"/>
            <family val="2"/>
          </rPr>
          <t xml:space="preserve">
- assuming ICF will be about $4 more per sqft of wall vs. cinder block.  This includes the increased trades cost with the interior</t>
        </r>
      </text>
    </comment>
    <comment ref="D1152" authorId="0" shapeId="0" xr:uid="{00000000-0006-0000-0400-0000B0020000}">
      <text>
        <r>
          <rPr>
            <b/>
            <sz val="9"/>
            <color indexed="81"/>
            <rFont val="Tahoma"/>
            <family val="2"/>
          </rPr>
          <t>Guy:</t>
        </r>
        <r>
          <rPr>
            <sz val="9"/>
            <color indexed="81"/>
            <rFont val="Tahoma"/>
            <family val="2"/>
          </rPr>
          <t xml:space="preserve">
- 15 cents extra for more blow-in/spray</t>
        </r>
      </text>
    </comment>
    <comment ref="D1153" authorId="0" shapeId="0" xr:uid="{00000000-0006-0000-0400-0000B1020000}">
      <text>
        <r>
          <rPr>
            <b/>
            <sz val="9"/>
            <color indexed="81"/>
            <rFont val="Tahoma"/>
            <family val="2"/>
          </rPr>
          <t>Guy:</t>
        </r>
        <r>
          <rPr>
            <sz val="9"/>
            <color indexed="81"/>
            <rFont val="Tahoma"/>
            <family val="2"/>
          </rPr>
          <t xml:space="preserve">
- 3 a sqft for 3" of closed cell
- $1 a sqft for rigid foam installed
- 35 cents for zip sheathing</t>
        </r>
      </text>
    </comment>
    <comment ref="D1154" authorId="0" shapeId="0" xr:uid="{00000000-0006-0000-0400-0000B2020000}">
      <text>
        <r>
          <rPr>
            <b/>
            <sz val="9"/>
            <color indexed="81"/>
            <rFont val="Tahoma"/>
            <family val="2"/>
          </rPr>
          <t>Guy:</t>
        </r>
        <r>
          <rPr>
            <sz val="9"/>
            <color indexed="81"/>
            <rFont val="Tahoma"/>
            <family val="2"/>
          </rPr>
          <t xml:space="preserve">
- $3 a sqft for 3" of closed cell
</t>
        </r>
      </text>
    </comment>
    <comment ref="D1155" authorId="0" shapeId="0" xr:uid="{00000000-0006-0000-0400-0000B3020000}">
      <text>
        <r>
          <rPr>
            <b/>
            <sz val="9"/>
            <color indexed="81"/>
            <rFont val="Tahoma"/>
            <family val="2"/>
          </rPr>
          <t>Guy:</t>
        </r>
        <r>
          <rPr>
            <sz val="9"/>
            <color indexed="81"/>
            <rFont val="Tahoma"/>
            <family val="2"/>
          </rPr>
          <t xml:space="preserve">
- 15 cents extra for more blow-in/spray</t>
        </r>
      </text>
    </comment>
    <comment ref="B1163" authorId="0" shapeId="0" xr:uid="{00000000-0006-0000-0400-0000B4020000}">
      <text>
        <r>
          <rPr>
            <b/>
            <sz val="9"/>
            <color indexed="81"/>
            <rFont val="Tahoma"/>
            <family val="2"/>
          </rPr>
          <t>Guy:</t>
        </r>
        <r>
          <rPr>
            <sz val="9"/>
            <color indexed="81"/>
            <rFont val="Tahoma"/>
            <family val="2"/>
          </rPr>
          <t xml:space="preserve">
- does not include the following
garage door (included with garage door package)
appliances
robotiic cleaners
automatic switches
home control (we think an app is a better way to go)
weather station
hvac zones/vents (this included in your hvac system depending on the level chosen)
sprinkler system (included in landscaping)</t>
        </r>
      </text>
    </comment>
    <comment ref="C1169" authorId="0" shapeId="0" xr:uid="{00000000-0006-0000-0400-0000B5020000}">
      <text>
        <r>
          <rPr>
            <b/>
            <sz val="9"/>
            <color indexed="81"/>
            <rFont val="Tahoma"/>
            <family val="2"/>
          </rPr>
          <t>Guy:</t>
        </r>
        <r>
          <rPr>
            <sz val="9"/>
            <color indexed="81"/>
            <rFont val="Tahoma"/>
            <family val="2"/>
          </rPr>
          <t xml:space="preserve">
- included in HVAC system</t>
        </r>
      </text>
    </comment>
    <comment ref="C1180" authorId="0" shapeId="0" xr:uid="{00000000-0006-0000-0400-0000B6020000}">
      <text>
        <r>
          <rPr>
            <b/>
            <sz val="9"/>
            <color indexed="81"/>
            <rFont val="Tahoma"/>
            <family val="2"/>
          </rPr>
          <t>Guy:</t>
        </r>
        <r>
          <rPr>
            <sz val="9"/>
            <color indexed="81"/>
            <rFont val="Tahoma"/>
            <family val="2"/>
          </rPr>
          <t xml:space="preserve">
$200 plus tax for device
$300 for installl</t>
        </r>
      </text>
    </comment>
    <comment ref="D1180" authorId="0" shapeId="0" xr:uid="{00000000-0006-0000-0400-0000B7020000}">
      <text>
        <r>
          <rPr>
            <b/>
            <sz val="9"/>
            <color indexed="81"/>
            <rFont val="Tahoma"/>
            <family val="2"/>
          </rPr>
          <t>Guy:</t>
        </r>
        <r>
          <rPr>
            <sz val="9"/>
            <color indexed="81"/>
            <rFont val="Tahoma"/>
            <family val="2"/>
          </rPr>
          <t xml:space="preserve">
- cost for additional door/window and motion sensors (labor and materials)</t>
        </r>
      </text>
    </comment>
    <comment ref="C1192" authorId="0" shapeId="0" xr:uid="{00000000-0006-0000-0400-0000B8020000}">
      <text>
        <r>
          <rPr>
            <b/>
            <sz val="9"/>
            <color indexed="81"/>
            <rFont val="Tahoma"/>
            <family val="2"/>
          </rPr>
          <t>Guy:</t>
        </r>
        <r>
          <rPr>
            <sz val="9"/>
            <color indexed="81"/>
            <rFont val="Tahoma"/>
            <family val="2"/>
          </rPr>
          <t xml:space="preserve">
$215 device
100 install</t>
        </r>
      </text>
    </comment>
    <comment ref="C1193" authorId="0" shapeId="0" xr:uid="{00000000-0006-0000-0400-0000B9020000}">
      <text>
        <r>
          <rPr>
            <b/>
            <sz val="9"/>
            <color indexed="81"/>
            <rFont val="Tahoma"/>
            <family val="2"/>
          </rPr>
          <t>Guy:</t>
        </r>
        <r>
          <rPr>
            <sz val="9"/>
            <color indexed="81"/>
            <rFont val="Tahoma"/>
            <family val="2"/>
          </rPr>
          <t xml:space="preserve">
$200 start-up and install costs by professionals, monthly fee by customer</t>
        </r>
      </text>
    </comment>
    <comment ref="D1193" authorId="0" shapeId="0" xr:uid="{00000000-0006-0000-0400-0000BA020000}">
      <text>
        <r>
          <rPr>
            <b/>
            <sz val="9"/>
            <color indexed="81"/>
            <rFont val="Tahoma"/>
            <family val="2"/>
          </rPr>
          <t>Guy:</t>
        </r>
        <r>
          <rPr>
            <sz val="9"/>
            <color indexed="81"/>
            <rFont val="Tahoma"/>
            <family val="2"/>
          </rPr>
          <t xml:space="preserve">
- cost for additional door/window and motion sensors (labor and materials)</t>
        </r>
      </text>
    </comment>
    <comment ref="E1194" authorId="0" shapeId="0" xr:uid="{00000000-0006-0000-0400-0000BB020000}">
      <text>
        <r>
          <rPr>
            <b/>
            <sz val="9"/>
            <color indexed="81"/>
            <rFont val="Tahoma"/>
            <family val="2"/>
          </rPr>
          <t>Guy:</t>
        </r>
        <r>
          <rPr>
            <sz val="9"/>
            <color indexed="81"/>
            <rFont val="Tahoma"/>
            <family val="2"/>
          </rPr>
          <t xml:space="preserve">
- 1 for kitchen
- 1 for each bedroom
- 1 for each additional room (not including extra laundry)
- 1 for each extra 1000 over 2500</t>
        </r>
      </text>
    </comment>
    <comment ref="D1196" authorId="0" shapeId="0" xr:uid="{00000000-0006-0000-0400-0000BC020000}">
      <text>
        <r>
          <rPr>
            <b/>
            <sz val="9"/>
            <color indexed="81"/>
            <rFont val="Tahoma"/>
            <family val="2"/>
          </rPr>
          <t>Guy:</t>
        </r>
        <r>
          <rPr>
            <sz val="9"/>
            <color indexed="81"/>
            <rFont val="Tahoma"/>
            <family val="2"/>
          </rPr>
          <t xml:space="preserve">
- philips white but dimmable light is $30, but you also need controller system.  Actualy costs are higher than $35 a light, but this light replaces the light that would have to purchased otherwise</t>
        </r>
      </text>
    </comment>
    <comment ref="E1196" authorId="0" shapeId="0" xr:uid="{00000000-0006-0000-0400-0000BD020000}">
      <text>
        <r>
          <rPr>
            <b/>
            <sz val="9"/>
            <color indexed="81"/>
            <rFont val="Tahoma"/>
            <family val="2"/>
          </rPr>
          <t>Guy:</t>
        </r>
        <r>
          <rPr>
            <sz val="9"/>
            <color indexed="81"/>
            <rFont val="Tahoma"/>
            <family val="2"/>
          </rPr>
          <t xml:space="preserve">
- kitchen quantity based on kitchen package selected plus the size of the house (not including basement).  (assumes 4 lights for bronze, 7 for silver, and 10 for gold or platinum), then add an additional kitchen light for every 1000' over 2500' (not including basement)
- then adding main living quantity
</t>
        </r>
      </text>
    </comment>
    <comment ref="C1198" authorId="0" shapeId="0" xr:uid="{00000000-0006-0000-0400-0000BE020000}">
      <text>
        <r>
          <rPr>
            <b/>
            <sz val="9"/>
            <color indexed="81"/>
            <rFont val="Tahoma"/>
            <family val="2"/>
          </rPr>
          <t>Guy:</t>
        </r>
        <r>
          <rPr>
            <sz val="9"/>
            <color indexed="81"/>
            <rFont val="Tahoma"/>
            <family val="2"/>
          </rPr>
          <t xml:space="preserve">
- assume $100 per added camera</t>
        </r>
      </text>
    </comment>
    <comment ref="C1200" authorId="0" shapeId="0" xr:uid="{00000000-0006-0000-0400-0000BF020000}">
      <text>
        <r>
          <rPr>
            <b/>
            <sz val="9"/>
            <color indexed="81"/>
            <rFont val="Tahoma"/>
            <family val="2"/>
          </rPr>
          <t>Guy:</t>
        </r>
        <r>
          <rPr>
            <sz val="9"/>
            <color indexed="81"/>
            <rFont val="Tahoma"/>
            <family val="2"/>
          </rPr>
          <t xml:space="preserve">
-$250 for each speaker installed
-$500 for AV receiver
- $400 install</t>
        </r>
      </text>
    </comment>
    <comment ref="D1201" authorId="0" shapeId="0" xr:uid="{00000000-0006-0000-0400-0000C0020000}">
      <text>
        <r>
          <rPr>
            <b/>
            <sz val="9"/>
            <color indexed="81"/>
            <rFont val="Tahoma"/>
            <family val="2"/>
          </rPr>
          <t>Guy:</t>
        </r>
        <r>
          <rPr>
            <sz val="9"/>
            <color indexed="81"/>
            <rFont val="Tahoma"/>
            <family val="2"/>
          </rPr>
          <t xml:space="preserve">
- assume $50 to add connecitivy to motorized blind</t>
        </r>
      </text>
    </comment>
    <comment ref="C1206" authorId="0" shapeId="0" xr:uid="{00000000-0006-0000-0400-0000C1020000}">
      <text>
        <r>
          <rPr>
            <b/>
            <sz val="9"/>
            <color indexed="81"/>
            <rFont val="Tahoma"/>
            <family val="2"/>
          </rPr>
          <t>Guy:</t>
        </r>
        <r>
          <rPr>
            <sz val="9"/>
            <color indexed="81"/>
            <rFont val="Tahoma"/>
            <family val="2"/>
          </rPr>
          <t xml:space="preserve">
$200 start-up and install costs by professionals, monthly fee by customer</t>
        </r>
      </text>
    </comment>
    <comment ref="D1206" authorId="0" shapeId="0" xr:uid="{00000000-0006-0000-0400-0000C2020000}">
      <text>
        <r>
          <rPr>
            <b/>
            <sz val="9"/>
            <color indexed="81"/>
            <rFont val="Tahoma"/>
            <family val="2"/>
          </rPr>
          <t>Guy:</t>
        </r>
        <r>
          <rPr>
            <sz val="9"/>
            <color indexed="81"/>
            <rFont val="Tahoma"/>
            <family val="2"/>
          </rPr>
          <t xml:space="preserve">
- cost for additional door/window and motion sensors (labor and materials)</t>
        </r>
      </text>
    </comment>
    <comment ref="E1207" authorId="0" shapeId="0" xr:uid="{00000000-0006-0000-0400-0000C3020000}">
      <text>
        <r>
          <rPr>
            <b/>
            <sz val="9"/>
            <color indexed="81"/>
            <rFont val="Tahoma"/>
            <family val="2"/>
          </rPr>
          <t>Guy:</t>
        </r>
        <r>
          <rPr>
            <sz val="9"/>
            <color indexed="81"/>
            <rFont val="Tahoma"/>
            <family val="2"/>
          </rPr>
          <t xml:space="preserve">
- 1 for kitchen
- 1 for each bedroom
- 1 for each additional room (not including extra laundry, additional living, office, or mud room )
- 1 for each extra 1000 over 3000</t>
        </r>
      </text>
    </comment>
    <comment ref="B1209" authorId="0" shapeId="0" xr:uid="{00000000-0006-0000-0400-0000C4020000}">
      <text>
        <r>
          <rPr>
            <b/>
            <sz val="9"/>
            <color indexed="81"/>
            <rFont val="Tahoma"/>
            <family val="2"/>
          </rPr>
          <t>Guy:</t>
        </r>
        <r>
          <rPr>
            <sz val="9"/>
            <color indexed="81"/>
            <rFont val="Tahoma"/>
            <family val="2"/>
          </rPr>
          <t xml:space="preserve">
- white lights are for closets, laundry, mud room
</t>
        </r>
      </text>
    </comment>
    <comment ref="C1209" authorId="0" shapeId="0" xr:uid="{00000000-0006-0000-0400-0000C5020000}">
      <text>
        <r>
          <rPr>
            <b/>
            <sz val="9"/>
            <color indexed="81"/>
            <rFont val="Tahoma"/>
            <family val="2"/>
          </rPr>
          <t>Guy:</t>
        </r>
        <r>
          <rPr>
            <sz val="9"/>
            <color indexed="81"/>
            <rFont val="Tahoma"/>
            <family val="2"/>
          </rPr>
          <t xml:space="preserve">
- philips color and dimmable light is $65, but you also need controller system.  Actualy costs are higher than $65 a light, but this light replaces the light that would have to purchased otherwise</t>
        </r>
      </text>
    </comment>
    <comment ref="D1209" authorId="0" shapeId="0" xr:uid="{00000000-0006-0000-0400-0000C6020000}">
      <text>
        <r>
          <rPr>
            <b/>
            <sz val="9"/>
            <color indexed="81"/>
            <rFont val="Tahoma"/>
            <family val="2"/>
          </rPr>
          <t>Guy:</t>
        </r>
        <r>
          <rPr>
            <sz val="9"/>
            <color indexed="81"/>
            <rFont val="Tahoma"/>
            <family val="2"/>
          </rPr>
          <t xml:space="preserve">
- kitchen quantity based on kitchen package selected plus the size of the house (not including basement).  (assumes 4 lights for bronze, 7 for silver, and 10 for gold or platinum), then add an additional kitchen light for every 1000' over 2500' (not including basement)
- then adding main living quanitity
- then adding each of the specific rooms (dining room, addiitional family/living, office, sun room, breakfast room, wine cellar, theater, finished basement, loft)
- then adding non room lights such as hallways at 1 extra light per 1000 finished sqft</t>
        </r>
      </text>
    </comment>
    <comment ref="F1209" authorId="0" shapeId="0" xr:uid="{00000000-0006-0000-0400-0000C7020000}">
      <text>
        <r>
          <rPr>
            <b/>
            <sz val="9"/>
            <color indexed="81"/>
            <rFont val="Tahoma"/>
            <family val="2"/>
          </rPr>
          <t>Guy:</t>
        </r>
        <r>
          <rPr>
            <sz val="9"/>
            <color indexed="81"/>
            <rFont val="Tahoma"/>
            <family val="2"/>
          </rPr>
          <t xml:space="preserve">
add lights for
- closets
- laundry
- additional laundry
- mud room
- garage
- unfinished basement
- exterior lighting</t>
        </r>
      </text>
    </comment>
    <comment ref="B1211" authorId="0" shapeId="0" xr:uid="{00000000-0006-0000-0400-0000C8020000}">
      <text>
        <r>
          <rPr>
            <b/>
            <sz val="9"/>
            <color indexed="81"/>
            <rFont val="Tahoma"/>
            <family val="2"/>
          </rPr>
          <t>Guy:</t>
        </r>
        <r>
          <rPr>
            <sz val="9"/>
            <color indexed="81"/>
            <rFont val="Tahoma"/>
            <family val="2"/>
          </rPr>
          <t xml:space="preserve">
four plust an additional camera per 1000 above 3000</t>
        </r>
      </text>
    </comment>
    <comment ref="C1211" authorId="0" shapeId="0" xr:uid="{00000000-0006-0000-0400-0000C9020000}">
      <text>
        <r>
          <rPr>
            <b/>
            <sz val="9"/>
            <color indexed="81"/>
            <rFont val="Tahoma"/>
            <family val="2"/>
          </rPr>
          <t>Guy:</t>
        </r>
        <r>
          <rPr>
            <sz val="9"/>
            <color indexed="81"/>
            <rFont val="Tahoma"/>
            <family val="2"/>
          </rPr>
          <t xml:space="preserve">
- assume $100 per added camera</t>
        </r>
      </text>
    </comment>
    <comment ref="B1213" authorId="0" shapeId="0" xr:uid="{00000000-0006-0000-0400-0000CA020000}">
      <text>
        <r>
          <rPr>
            <b/>
            <sz val="9"/>
            <color indexed="81"/>
            <rFont val="Tahoma"/>
            <family val="2"/>
          </rPr>
          <t>Guy:</t>
        </r>
        <r>
          <rPr>
            <sz val="9"/>
            <color indexed="81"/>
            <rFont val="Tahoma"/>
            <family val="2"/>
          </rPr>
          <t xml:space="preserve">
1 speaker per 400 sqft above 3000
</t>
        </r>
      </text>
    </comment>
    <comment ref="C1213" authorId="0" shapeId="0" xr:uid="{00000000-0006-0000-0400-0000CB020000}">
      <text>
        <r>
          <rPr>
            <b/>
            <sz val="9"/>
            <color indexed="81"/>
            <rFont val="Tahoma"/>
            <family val="2"/>
          </rPr>
          <t>Guy:</t>
        </r>
        <r>
          <rPr>
            <sz val="9"/>
            <color indexed="81"/>
            <rFont val="Tahoma"/>
            <family val="2"/>
          </rPr>
          <t xml:space="preserve">
-$250 for each speaker installed
-$100 for AV receiver</t>
        </r>
      </text>
    </comment>
    <comment ref="D1214" authorId="0" shapeId="0" xr:uid="{00000000-0006-0000-0400-0000CC020000}">
      <text>
        <r>
          <rPr>
            <b/>
            <sz val="9"/>
            <color indexed="81"/>
            <rFont val="Tahoma"/>
            <family val="2"/>
          </rPr>
          <t>Guy:</t>
        </r>
        <r>
          <rPr>
            <sz val="9"/>
            <color indexed="81"/>
            <rFont val="Tahoma"/>
            <family val="2"/>
          </rPr>
          <t xml:space="preserve">
- assume $50 to add connecitivy to motorized blind</t>
        </r>
      </text>
    </comment>
    <comment ref="D1225" authorId="0" shapeId="0" xr:uid="{00000000-0006-0000-0400-0000CD020000}">
      <text>
        <r>
          <rPr>
            <b/>
            <sz val="9"/>
            <color indexed="81"/>
            <rFont val="Tahoma"/>
            <family val="2"/>
          </rPr>
          <t>Guy:</t>
        </r>
        <r>
          <rPr>
            <sz val="9"/>
            <color indexed="81"/>
            <rFont val="Tahoma"/>
            <family val="2"/>
          </rPr>
          <t xml:space="preserve">
extra cost for increase generator size and more wiring</t>
        </r>
      </text>
    </comment>
    <comment ref="D1229" authorId="0" shapeId="0" xr:uid="{00000000-0006-0000-0400-0000CE020000}">
      <text>
        <r>
          <rPr>
            <b/>
            <sz val="9"/>
            <color indexed="81"/>
            <rFont val="Tahoma"/>
            <family val="2"/>
          </rPr>
          <t>Guy:</t>
        </r>
        <r>
          <rPr>
            <sz val="9"/>
            <color indexed="81"/>
            <rFont val="Tahoma"/>
            <family val="2"/>
          </rPr>
          <t xml:space="preserve">
higher pricing for larger house because of longer wire runs and more wiring</t>
        </r>
      </text>
    </comment>
    <comment ref="D1233" authorId="0" shapeId="0" xr:uid="{00000000-0006-0000-0400-0000CF020000}">
      <text>
        <r>
          <rPr>
            <b/>
            <sz val="9"/>
            <color indexed="81"/>
            <rFont val="Tahoma"/>
            <family val="2"/>
          </rPr>
          <t>Guy:</t>
        </r>
        <r>
          <rPr>
            <sz val="9"/>
            <color indexed="81"/>
            <rFont val="Tahoma"/>
            <family val="2"/>
          </rPr>
          <t xml:space="preserve">
higher pricing for larger house because of longer wire runs and more wiring</t>
        </r>
      </text>
    </comment>
    <comment ref="B1239" authorId="0" shapeId="0" xr:uid="{00000000-0006-0000-0400-0000D0020000}">
      <text>
        <r>
          <rPr>
            <b/>
            <sz val="9"/>
            <color indexed="81"/>
            <rFont val="Tahoma"/>
            <family val="2"/>
          </rPr>
          <t>Guy:</t>
        </r>
        <r>
          <rPr>
            <sz val="9"/>
            <color indexed="81"/>
            <rFont val="Tahoma"/>
            <family val="2"/>
          </rPr>
          <t xml:space="preserve">
- silver through platinum pricing is all guesswork at this point, need to talk to dealers</t>
        </r>
      </text>
    </comment>
    <comment ref="C1241" authorId="0" shapeId="0" xr:uid="{00000000-0006-0000-0400-0000D1020000}">
      <text>
        <r>
          <rPr>
            <b/>
            <sz val="9"/>
            <color indexed="81"/>
            <rFont val="Tahoma"/>
            <family val="2"/>
          </rPr>
          <t>Guy:</t>
        </r>
        <r>
          <rPr>
            <sz val="9"/>
            <color indexed="81"/>
            <rFont val="Tahoma"/>
            <family val="2"/>
          </rPr>
          <t xml:space="preserve">
- $400 for slab prep (hold weight of pnuematic shaf, for example)
- $750 for structural materials and labor for shaft and door frames for two floors
- $400 for electrical conduit to shaft</t>
        </r>
      </text>
    </comment>
    <comment ref="D1241" authorId="0" shapeId="0" xr:uid="{00000000-0006-0000-0400-0000D2020000}">
      <text>
        <r>
          <rPr>
            <b/>
            <sz val="9"/>
            <color indexed="81"/>
            <rFont val="Tahoma"/>
            <family val="2"/>
          </rPr>
          <t>Guy:</t>
        </r>
        <r>
          <rPr>
            <sz val="9"/>
            <color indexed="81"/>
            <rFont val="Tahoma"/>
            <family val="2"/>
          </rPr>
          <t xml:space="preserve">
- $250 for additional framing and $100 additional slab costs for 3rd floor
- $75 per floor for light installed
- $50 per floor for ethernet/phone (can use each floor as small office and/or just use line as prep for elevator)</t>
        </r>
      </text>
    </comment>
    <comment ref="B1244" authorId="0" shapeId="0" xr:uid="{00000000-0006-0000-0400-0000D3020000}">
      <text>
        <r>
          <rPr>
            <b/>
            <sz val="9"/>
            <color indexed="81"/>
            <rFont val="Tahoma"/>
            <family val="2"/>
          </rPr>
          <t>Guy:</t>
        </r>
        <r>
          <rPr>
            <sz val="9"/>
            <color indexed="81"/>
            <rFont val="Tahoma"/>
            <family val="2"/>
          </rPr>
          <t xml:space="preserve">
http://www.vacuumelevators.com/pve30</t>
        </r>
      </text>
    </comment>
    <comment ref="D1244" authorId="0" shapeId="0" xr:uid="{00000000-0006-0000-0400-0000D4020000}">
      <text>
        <r>
          <rPr>
            <b/>
            <sz val="9"/>
            <color indexed="81"/>
            <rFont val="Tahoma"/>
            <family val="2"/>
          </rPr>
          <t>Guy:</t>
        </r>
        <r>
          <rPr>
            <sz val="9"/>
            <color indexed="81"/>
            <rFont val="Tahoma"/>
            <family val="2"/>
          </rPr>
          <t xml:space="preserve">
$3000 more to add third floor</t>
        </r>
      </text>
    </comment>
    <comment ref="B1247" authorId="0" shapeId="0" xr:uid="{00000000-0006-0000-0400-0000D5020000}">
      <text>
        <r>
          <rPr>
            <b/>
            <sz val="9"/>
            <color indexed="81"/>
            <rFont val="Tahoma"/>
            <family val="2"/>
          </rPr>
          <t>Guy:</t>
        </r>
        <r>
          <rPr>
            <sz val="9"/>
            <color indexed="81"/>
            <rFont val="Tahoma"/>
            <family val="2"/>
          </rPr>
          <t xml:space="preserve">
http://www.vacuumelevators.com/pve52</t>
        </r>
      </text>
    </comment>
    <comment ref="D1247" authorId="0" shapeId="0" xr:uid="{00000000-0006-0000-0400-0000D6020000}">
      <text>
        <r>
          <rPr>
            <b/>
            <sz val="9"/>
            <color indexed="81"/>
            <rFont val="Tahoma"/>
            <family val="2"/>
          </rPr>
          <t>Guy:</t>
        </r>
        <r>
          <rPr>
            <sz val="9"/>
            <color indexed="81"/>
            <rFont val="Tahoma"/>
            <family val="2"/>
          </rPr>
          <t xml:space="preserve">
$5000 more to add third floor</t>
        </r>
      </text>
    </comment>
    <comment ref="D1250" authorId="0" shapeId="0" xr:uid="{00000000-0006-0000-0400-0000D7020000}">
      <text>
        <r>
          <rPr>
            <b/>
            <sz val="9"/>
            <color indexed="81"/>
            <rFont val="Tahoma"/>
            <family val="2"/>
          </rPr>
          <t>Guy:</t>
        </r>
        <r>
          <rPr>
            <sz val="9"/>
            <color indexed="81"/>
            <rFont val="Tahoma"/>
            <family val="2"/>
          </rPr>
          <t xml:space="preserve">
$8000 more to add third floor</t>
        </r>
      </text>
    </comment>
    <comment ref="B1254" authorId="0" shapeId="0" xr:uid="{00000000-0006-0000-0400-0000D8020000}">
      <text>
        <r>
          <rPr>
            <b/>
            <sz val="9"/>
            <color indexed="81"/>
            <rFont val="Tahoma"/>
            <family val="2"/>
          </rPr>
          <t>Guy:</t>
        </r>
        <r>
          <rPr>
            <sz val="9"/>
            <color indexed="81"/>
            <rFont val="Tahoma"/>
            <family val="2"/>
          </rPr>
          <t xml:space="preserve">
- costs need to flushed out with an actual designer</t>
        </r>
      </text>
    </comment>
    <comment ref="A1256" authorId="0" shapeId="0" xr:uid="{00000000-0006-0000-0400-0000D9020000}">
      <text>
        <r>
          <rPr>
            <b/>
            <sz val="9"/>
            <color indexed="81"/>
            <rFont val="Tahoma"/>
            <family val="2"/>
          </rPr>
          <t>Guy:</t>
        </r>
        <r>
          <rPr>
            <sz val="9"/>
            <color indexed="81"/>
            <rFont val="Tahoma"/>
            <family val="2"/>
          </rPr>
          <t xml:space="preserve">
hours include all hours designer spends on project, not just client facing time</t>
        </r>
      </text>
    </comment>
    <comment ref="G1256" authorId="0" shapeId="0" xr:uid="{00000000-0006-0000-0400-0000DA020000}">
      <text>
        <r>
          <rPr>
            <b/>
            <sz val="9"/>
            <color indexed="81"/>
            <rFont val="Tahoma"/>
            <family val="2"/>
          </rPr>
          <t>Guy:</t>
        </r>
        <r>
          <rPr>
            <sz val="9"/>
            <color indexed="81"/>
            <rFont val="Tahoma"/>
            <family val="2"/>
          </rPr>
          <t xml:space="preserve">
- pullted from attributes calculations</t>
        </r>
      </text>
    </comment>
    <comment ref="B1365" authorId="0" shapeId="0" xr:uid="{00000000-0006-0000-0400-0000DB020000}">
      <text>
        <r>
          <rPr>
            <b/>
            <sz val="9"/>
            <color indexed="81"/>
            <rFont val="Tahoma"/>
            <family val="2"/>
          </rPr>
          <t>Guy:</t>
        </r>
        <r>
          <rPr>
            <sz val="9"/>
            <color indexed="81"/>
            <rFont val="Tahoma"/>
            <family val="2"/>
          </rPr>
          <t xml:space="preserve">
T-Rex connector website:
http://www.ctpostandbeam.com/t-rex-connectors/</t>
        </r>
      </text>
    </comment>
    <comment ref="B1371" authorId="0" shapeId="0" xr:uid="{00000000-0006-0000-0400-0000DC020000}">
      <text>
        <r>
          <rPr>
            <b/>
            <sz val="9"/>
            <color indexed="81"/>
            <rFont val="Tahoma"/>
            <family val="2"/>
          </rPr>
          <t>Guy:</t>
        </r>
        <r>
          <rPr>
            <sz val="9"/>
            <color indexed="81"/>
            <rFont val="Tahoma"/>
            <family val="2"/>
          </rPr>
          <t xml:space="preserve">
T-Rex connector website:
http://www.ctpostandbeam.com/t-rex-connectors/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Guy</author>
    <author>1186341526V</author>
  </authors>
  <commentList>
    <comment ref="B5" authorId="0" shapeId="0" xr:uid="{00000000-0006-0000-0800-000001000000}">
      <text>
        <r>
          <rPr>
            <b/>
            <sz val="9"/>
            <color indexed="81"/>
            <rFont val="Tahoma"/>
            <family val="2"/>
          </rPr>
          <t>Guy:</t>
        </r>
        <r>
          <rPr>
            <sz val="9"/>
            <color indexed="81"/>
            <rFont val="Tahoma"/>
            <family val="2"/>
          </rPr>
          <t xml:space="preserve">
- no longer using</t>
        </r>
      </text>
    </comment>
    <comment ref="C5" authorId="1" shapeId="0" xr:uid="{00000000-0006-0000-0800-000002000000}">
      <text>
        <r>
          <rPr>
            <b/>
            <sz val="9"/>
            <color indexed="81"/>
            <rFont val="Tahoma"/>
            <family val="2"/>
          </rPr>
          <t>1186341526V:</t>
        </r>
        <r>
          <rPr>
            <sz val="9"/>
            <color indexed="81"/>
            <rFont val="Tahoma"/>
            <family val="2"/>
          </rPr>
          <t xml:space="preserve">
- assuming economy of scale to finish a basement double the size</t>
        </r>
      </text>
    </comment>
    <comment ref="B13" authorId="1" shapeId="0" xr:uid="{00000000-0006-0000-0800-000003000000}">
      <text>
        <r>
          <rPr>
            <b/>
            <sz val="9"/>
            <color indexed="81"/>
            <rFont val="Tahoma"/>
            <family val="2"/>
          </rPr>
          <t>1186341526V:</t>
        </r>
        <r>
          <rPr>
            <sz val="9"/>
            <color indexed="81"/>
            <rFont val="Tahoma"/>
            <family val="2"/>
          </rPr>
          <t xml:space="preserve">
not used right now because of an assumption that interior doors don't change height for every foot of ceiling height</t>
        </r>
      </text>
    </comment>
    <comment ref="D21" authorId="0" shapeId="0" xr:uid="{00000000-0006-0000-0800-000004000000}">
      <text>
        <r>
          <rPr>
            <b/>
            <sz val="9"/>
            <color indexed="81"/>
            <rFont val="Tahoma"/>
            <family val="2"/>
          </rPr>
          <t>Guy:</t>
        </r>
        <r>
          <rPr>
            <sz val="9"/>
            <color indexed="81"/>
            <rFont val="Tahoma"/>
            <family val="2"/>
          </rPr>
          <t xml:space="preserve">
Few is zero because Few is the default angles/curves</t>
        </r>
      </text>
    </comment>
    <comment ref="D23" authorId="0" shapeId="0" xr:uid="{00000000-0006-0000-0800-000005000000}">
      <text>
        <r>
          <rPr>
            <b/>
            <sz val="9"/>
            <color indexed="81"/>
            <rFont val="Tahoma"/>
            <family val="2"/>
          </rPr>
          <t>Guy:</t>
        </r>
        <r>
          <rPr>
            <sz val="9"/>
            <color indexed="81"/>
            <rFont val="Tahoma"/>
            <family val="2"/>
          </rPr>
          <t xml:space="preserve">
Few is zero because Few is the default angles/curves</t>
        </r>
      </text>
    </comment>
    <comment ref="D25" authorId="0" shapeId="0" xr:uid="{00000000-0006-0000-0800-000006000000}">
      <text>
        <r>
          <rPr>
            <b/>
            <sz val="9"/>
            <color indexed="81"/>
            <rFont val="Tahoma"/>
            <family val="2"/>
          </rPr>
          <t>Guy:</t>
        </r>
        <r>
          <rPr>
            <sz val="9"/>
            <color indexed="81"/>
            <rFont val="Tahoma"/>
            <family val="2"/>
          </rPr>
          <t xml:space="preserve">
Few is zero because Few is the default angles/curves</t>
        </r>
      </text>
    </comment>
    <comment ref="B42" authorId="0" shapeId="0" xr:uid="{00000000-0006-0000-0800-000007000000}">
      <text>
        <r>
          <rPr>
            <b/>
            <sz val="9"/>
            <color indexed="81"/>
            <rFont val="Tahoma"/>
            <family val="2"/>
          </rPr>
          <t xml:space="preserve">Guy:
</t>
        </r>
        <r>
          <rPr>
            <sz val="9"/>
            <color indexed="81"/>
            <rFont val="Tahoma"/>
            <family val="2"/>
          </rPr>
          <t>% price increase for 1000 above default</t>
        </r>
      </text>
    </comment>
    <comment ref="B43" authorId="0" shapeId="0" xr:uid="{00000000-0006-0000-0800-000008000000}">
      <text>
        <r>
          <rPr>
            <b/>
            <sz val="9"/>
            <color indexed="81"/>
            <rFont val="Tahoma"/>
            <family val="2"/>
          </rPr>
          <t>Guy:</t>
        </r>
        <r>
          <rPr>
            <sz val="9"/>
            <color indexed="81"/>
            <rFont val="Tahoma"/>
            <family val="2"/>
          </rPr>
          <t xml:space="preserve">
assume all bedrooms on 2nd floor, % increase of bedroom price for every foot above default height</t>
        </r>
      </text>
    </comment>
    <comment ref="B44" authorId="0" shapeId="0" xr:uid="{00000000-0006-0000-0800-000009000000}">
      <text>
        <r>
          <rPr>
            <b/>
            <sz val="9"/>
            <color indexed="81"/>
            <rFont val="Tahoma"/>
            <family val="2"/>
          </rPr>
          <t>Guy:</t>
        </r>
        <r>
          <rPr>
            <sz val="9"/>
            <color indexed="81"/>
            <rFont val="Tahoma"/>
            <family val="2"/>
          </rPr>
          <t xml:space="preserve">
% increase of bedroom price for levels of design complexity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Guy</author>
    <author>guy barth</author>
    <author>1186341526V</author>
  </authors>
  <commentList>
    <comment ref="AF7" authorId="0" shapeId="0" xr:uid="{00000000-0006-0000-0600-000001000000}">
      <text>
        <r>
          <rPr>
            <b/>
            <sz val="9"/>
            <color indexed="81"/>
            <rFont val="Tahoma"/>
            <family val="2"/>
          </rPr>
          <t>Guy:</t>
        </r>
        <r>
          <rPr>
            <sz val="9"/>
            <color indexed="81"/>
            <rFont val="Tahoma"/>
            <family val="2"/>
          </rPr>
          <t xml:space="preserve">
Assumes that "neither" plans or engineering are the default</t>
        </r>
      </text>
    </comment>
    <comment ref="AH8" authorId="0" shapeId="0" xr:uid="{00000000-0006-0000-0600-000002000000}">
      <text>
        <r>
          <rPr>
            <b/>
            <sz val="9"/>
            <color indexed="81"/>
            <rFont val="Tahoma"/>
            <family val="2"/>
          </rPr>
          <t>Guy:</t>
        </r>
        <r>
          <rPr>
            <sz val="9"/>
            <color indexed="81"/>
            <rFont val="Tahoma"/>
            <family val="2"/>
          </rPr>
          <t xml:space="preserve">
- assume about 25-60 hours for bronze designer, 25 at the smallest house, 45 at the largest
- about $100 per hour for a designer</t>
        </r>
      </text>
    </comment>
    <comment ref="H9" authorId="0" shapeId="0" xr:uid="{00000000-0006-0000-0600-000003000000}">
      <text>
        <r>
          <rPr>
            <b/>
            <sz val="9"/>
            <color indexed="81"/>
            <rFont val="Tahoma"/>
            <family val="2"/>
          </rPr>
          <t>Guy:</t>
        </r>
        <r>
          <rPr>
            <sz val="9"/>
            <color indexed="81"/>
            <rFont val="Tahoma"/>
            <family val="2"/>
          </rPr>
          <t xml:space="preserve">
assume no entry door for dining room</t>
        </r>
      </text>
    </comment>
    <comment ref="T12" authorId="0" shapeId="0" xr:uid="{00000000-0006-0000-0600-000004000000}">
      <text>
        <r>
          <rPr>
            <b/>
            <sz val="9"/>
            <color indexed="81"/>
            <rFont val="Tahoma"/>
            <family val="2"/>
          </rPr>
          <t>Guy:</t>
        </r>
        <r>
          <rPr>
            <sz val="9"/>
            <color indexed="81"/>
            <rFont val="Tahoma"/>
            <family val="2"/>
          </rPr>
          <t xml:space="preserve">
- assumes default garage entry type is not basement entry</t>
        </r>
      </text>
    </comment>
    <comment ref="Y12" authorId="0" shapeId="0" xr:uid="{00000000-0006-0000-0600-000005000000}">
      <text>
        <r>
          <rPr>
            <b/>
            <sz val="9"/>
            <color indexed="81"/>
            <rFont val="Tahoma"/>
            <family val="2"/>
          </rPr>
          <t>Guy:</t>
        </r>
        <r>
          <rPr>
            <sz val="9"/>
            <color indexed="81"/>
            <rFont val="Tahoma"/>
            <family val="2"/>
          </rPr>
          <t xml:space="preserve">
Making an assumption that each room over 20x20 requires one steel beam and 2 steel adjustable columns in floor above</t>
        </r>
      </text>
    </comment>
    <comment ref="AC12" authorId="0" shapeId="0" xr:uid="{00000000-0006-0000-0600-000006000000}">
      <text>
        <r>
          <rPr>
            <b/>
            <sz val="9"/>
            <color indexed="81"/>
            <rFont val="Tahoma"/>
            <family val="2"/>
          </rPr>
          <t>Guy:</t>
        </r>
        <r>
          <rPr>
            <sz val="9"/>
            <color indexed="81"/>
            <rFont val="Tahoma"/>
            <family val="2"/>
          </rPr>
          <t xml:space="preserve">
assumes normal trusses and pitch for Hip roof, and assumes bronze package is regular shingles</t>
        </r>
      </text>
    </comment>
    <comment ref="AD12" authorId="0" shapeId="0" xr:uid="{00000000-0006-0000-0600-000007000000}">
      <text>
        <r>
          <rPr>
            <b/>
            <sz val="9"/>
            <color indexed="81"/>
            <rFont val="Tahoma"/>
            <family val="2"/>
          </rPr>
          <t>Guy:</t>
        </r>
        <r>
          <rPr>
            <sz val="9"/>
            <color indexed="81"/>
            <rFont val="Tahoma"/>
            <family val="2"/>
          </rPr>
          <t xml:space="preserve">
- $2000 per garage spot for extra concrete, framing, siiding, roofing, and windows per garage spot</t>
        </r>
      </text>
    </comment>
    <comment ref="Q14" authorId="0" shapeId="0" xr:uid="{00000000-0006-0000-0600-000008000000}">
      <text>
        <r>
          <rPr>
            <b/>
            <sz val="9"/>
            <color indexed="81"/>
            <rFont val="Tahoma"/>
            <family val="2"/>
          </rPr>
          <t>Guy:</t>
        </r>
        <r>
          <rPr>
            <sz val="9"/>
            <color indexed="81"/>
            <rFont val="Tahoma"/>
            <family val="2"/>
          </rPr>
          <t xml:space="preserve">
25% of first floor for one story, or 25% of 2nd floor for two story</t>
        </r>
      </text>
    </comment>
    <comment ref="AA14" authorId="1" shapeId="0" xr:uid="{EF32EBBF-8BBF-4F38-9698-49ABC3464A13}">
      <text>
        <r>
          <rPr>
            <b/>
            <sz val="9"/>
            <color indexed="81"/>
            <rFont val="Tahoma"/>
            <family val="2"/>
          </rPr>
          <t>guy barth:</t>
        </r>
        <r>
          <rPr>
            <sz val="9"/>
            <color indexed="81"/>
            <rFont val="Tahoma"/>
            <family val="2"/>
          </rPr>
          <t xml:space="preserve">
- not including stairs and siding savings</t>
        </r>
      </text>
    </comment>
    <comment ref="AD14" authorId="0" shapeId="0" xr:uid="{00000000-0006-0000-0600-000009000000}">
      <text>
        <r>
          <rPr>
            <b/>
            <sz val="9"/>
            <color indexed="81"/>
            <rFont val="Tahoma"/>
            <family val="2"/>
          </rPr>
          <t>Guy:</t>
        </r>
        <r>
          <rPr>
            <sz val="9"/>
            <color indexed="81"/>
            <rFont val="Tahoma"/>
            <family val="2"/>
          </rPr>
          <t xml:space="preserve">
$700 per spot because we assume more windows and expensive materials on front elevation</t>
        </r>
      </text>
    </comment>
    <comment ref="U15" authorId="2" shapeId="0" xr:uid="{00000000-0006-0000-0600-00000A000000}">
      <text>
        <r>
          <rPr>
            <b/>
            <sz val="9"/>
            <color indexed="81"/>
            <rFont val="Tahoma"/>
            <family val="2"/>
          </rPr>
          <t>1186341526V:</t>
        </r>
        <r>
          <rPr>
            <sz val="9"/>
            <color indexed="81"/>
            <rFont val="Tahoma"/>
            <family val="2"/>
          </rPr>
          <t xml:space="preserve">
for now just apply a constant for default stairs</t>
        </r>
      </text>
    </comment>
    <comment ref="AE15" authorId="2" shapeId="0" xr:uid="{00000000-0006-0000-0600-00000B000000}">
      <text>
        <r>
          <rPr>
            <b/>
            <sz val="9"/>
            <color indexed="81"/>
            <rFont val="Tahoma"/>
            <family val="2"/>
          </rPr>
          <t>1186341526V:</t>
        </r>
        <r>
          <rPr>
            <sz val="9"/>
            <color indexed="81"/>
            <rFont val="Tahoma"/>
            <family val="2"/>
          </rPr>
          <t xml:space="preserve">
extra costs including increase structural costs, insulsation costs, labor costs, and more ceiling surface area</t>
        </r>
      </text>
    </comment>
    <comment ref="Q16" authorId="0" shapeId="0" xr:uid="{00000000-0006-0000-0600-00000C000000}">
      <text>
        <r>
          <rPr>
            <b/>
            <sz val="9"/>
            <color indexed="81"/>
            <rFont val="Tahoma"/>
            <family val="2"/>
          </rPr>
          <t>Guy:</t>
        </r>
        <r>
          <rPr>
            <sz val="9"/>
            <color indexed="81"/>
            <rFont val="Tahoma"/>
            <family val="2"/>
          </rPr>
          <t xml:space="preserve">
$1.7 a sqft for materials
$5 a sqft for labor</t>
        </r>
      </text>
    </comment>
    <comment ref="T16" authorId="2" shapeId="0" xr:uid="{00000000-0006-0000-0600-00000D000000}">
      <text>
        <r>
          <rPr>
            <b/>
            <sz val="9"/>
            <color indexed="81"/>
            <rFont val="Tahoma"/>
            <family val="2"/>
          </rPr>
          <t>1186341526V:</t>
        </r>
        <r>
          <rPr>
            <sz val="9"/>
            <color indexed="81"/>
            <rFont val="Tahoma"/>
            <family val="2"/>
          </rPr>
          <t xml:space="preserve">
- base cost to show up
- then multiply the per sqft slab cost by the sqft</t>
        </r>
      </text>
    </comment>
    <comment ref="U16" authorId="0" shapeId="0" xr:uid="{00000000-0006-0000-0600-00000E000000}">
      <text>
        <r>
          <rPr>
            <b/>
            <sz val="9"/>
            <color indexed="81"/>
            <rFont val="Tahoma"/>
            <family val="2"/>
          </rPr>
          <t>Guy:</t>
        </r>
        <r>
          <rPr>
            <sz val="9"/>
            <color indexed="81"/>
            <rFont val="Tahoma"/>
            <family val="2"/>
          </rPr>
          <t xml:space="preserve">
- assume garage entry is not basement entry</t>
        </r>
      </text>
    </comment>
    <comment ref="AD16" authorId="0" shapeId="0" xr:uid="{00000000-0006-0000-0600-00000F000000}">
      <text>
        <r>
          <rPr>
            <b/>
            <sz val="9"/>
            <color indexed="81"/>
            <rFont val="Tahoma"/>
            <family val="2"/>
          </rPr>
          <t>Guy:</t>
        </r>
        <r>
          <rPr>
            <sz val="9"/>
            <color indexed="81"/>
            <rFont val="Tahoma"/>
            <family val="2"/>
          </rPr>
          <t xml:space="preserve">
$800 per spot because we assume more windows and espensive materials main level</t>
        </r>
      </text>
    </comment>
    <comment ref="L17" authorId="2" shapeId="0" xr:uid="{00000000-0006-0000-0600-000010000000}">
      <text>
        <r>
          <rPr>
            <b/>
            <sz val="9"/>
            <color indexed="81"/>
            <rFont val="Tahoma"/>
            <family val="2"/>
          </rPr>
          <t>1186341526V:</t>
        </r>
        <r>
          <rPr>
            <sz val="9"/>
            <color indexed="81"/>
            <rFont val="Tahoma"/>
            <family val="2"/>
          </rPr>
          <t xml:space="preserve">
assumes sqft of house not inreased for sun room, so just a little extra cost to add corners to sun room</t>
        </r>
      </text>
    </comment>
    <comment ref="U17" authorId="2" shapeId="0" xr:uid="{00000000-0006-0000-0600-000011000000}">
      <text>
        <r>
          <rPr>
            <b/>
            <sz val="9"/>
            <color indexed="81"/>
            <rFont val="Tahoma"/>
            <family val="2"/>
          </rPr>
          <t>1186341526V:</t>
        </r>
        <r>
          <rPr>
            <sz val="9"/>
            <color indexed="81"/>
            <rFont val="Tahoma"/>
            <family val="2"/>
          </rPr>
          <t xml:space="preserve">
- roofing cost with larger 1 story roof minus smaller 2 story roof </t>
        </r>
      </text>
    </comment>
    <comment ref="Q18" authorId="0" shapeId="0" xr:uid="{00000000-0006-0000-0600-000012000000}">
      <text>
        <r>
          <rPr>
            <b/>
            <sz val="9"/>
            <color indexed="81"/>
            <rFont val="Tahoma"/>
            <family val="2"/>
          </rPr>
          <t>Guy:</t>
        </r>
        <r>
          <rPr>
            <sz val="9"/>
            <color indexed="81"/>
            <rFont val="Tahoma"/>
            <family val="2"/>
          </rPr>
          <t xml:space="preserve">
- 1.5 outlets per 100 sqft at $35 a piece</t>
        </r>
      </text>
    </comment>
    <comment ref="T18" authorId="2" shapeId="0" xr:uid="{00000000-0006-0000-0600-000013000000}">
      <text>
        <r>
          <rPr>
            <b/>
            <sz val="9"/>
            <color indexed="81"/>
            <rFont val="Tahoma"/>
            <family val="2"/>
          </rPr>
          <t>1186341526V:</t>
        </r>
        <r>
          <rPr>
            <sz val="9"/>
            <color indexed="81"/>
            <rFont val="Tahoma"/>
            <family val="2"/>
          </rPr>
          <t xml:space="preserve">
- if slab on grade, footer costs only
- wall costs for default wall height
- assumes 2 walls only as the other two walls are part of house (dividing by 2 for per sqft wall costs)
</t>
        </r>
      </text>
    </comment>
    <comment ref="L19" authorId="2" shapeId="0" xr:uid="{00000000-0006-0000-0600-000014000000}">
      <text>
        <r>
          <rPr>
            <b/>
            <sz val="9"/>
            <color indexed="81"/>
            <rFont val="Tahoma"/>
            <family val="2"/>
          </rPr>
          <t>1186341526V:</t>
        </r>
        <r>
          <rPr>
            <sz val="9"/>
            <color indexed="81"/>
            <rFont val="Tahoma"/>
            <family val="2"/>
          </rPr>
          <t xml:space="preserve">
assumes sqft of house not inreased for sun room, so just a little extra cost to add corners to sun room</t>
        </r>
      </text>
    </comment>
    <comment ref="U19" authorId="2" shapeId="0" xr:uid="{00000000-0006-0000-0600-000015000000}">
      <text>
        <r>
          <rPr>
            <b/>
            <sz val="9"/>
            <color indexed="81"/>
            <rFont val="Tahoma"/>
            <family val="2"/>
          </rPr>
          <t>1186341526V:</t>
        </r>
        <r>
          <rPr>
            <sz val="9"/>
            <color indexed="81"/>
            <rFont val="Tahoma"/>
            <family val="2"/>
          </rPr>
          <t xml:space="preserve">
- foundation cost of 1 story minus foundation cost of 2 story</t>
        </r>
      </text>
    </comment>
    <comment ref="Q20" authorId="0" shapeId="0" xr:uid="{00000000-0006-0000-0600-000016000000}">
      <text>
        <r>
          <rPr>
            <b/>
            <sz val="9"/>
            <color indexed="81"/>
            <rFont val="Tahoma"/>
            <family val="2"/>
          </rPr>
          <t>Guy:</t>
        </r>
        <r>
          <rPr>
            <sz val="9"/>
            <color indexed="81"/>
            <rFont val="Tahoma"/>
            <family val="2"/>
          </rPr>
          <t xml:space="preserve">
$2 a sqft to account for larger hardware and more ductwork</t>
        </r>
      </text>
    </comment>
    <comment ref="U20" authorId="0" shapeId="0" xr:uid="{00000000-0006-0000-0600-000017000000}">
      <text>
        <r>
          <rPr>
            <b/>
            <sz val="9"/>
            <color indexed="81"/>
            <rFont val="Tahoma"/>
            <family val="2"/>
          </rPr>
          <t>Guy:</t>
        </r>
        <r>
          <rPr>
            <sz val="9"/>
            <color indexed="81"/>
            <rFont val="Tahoma"/>
            <family val="2"/>
          </rPr>
          <t xml:space="preserve">
- assume only half of basement is finished for one story house</t>
        </r>
      </text>
    </comment>
    <comment ref="F21" authorId="2" shapeId="0" xr:uid="{00000000-0006-0000-0600-000018000000}">
      <text>
        <r>
          <rPr>
            <b/>
            <sz val="9"/>
            <color indexed="81"/>
            <rFont val="Tahoma"/>
            <family val="2"/>
          </rPr>
          <t>Guy:
Assumption is that the basement sqft is the first floor sqft minus the garage size.</t>
        </r>
      </text>
    </comment>
    <comment ref="L21" authorId="2" shapeId="0" xr:uid="{00000000-0006-0000-0600-000019000000}">
      <text>
        <r>
          <rPr>
            <b/>
            <sz val="9"/>
            <color indexed="81"/>
            <rFont val="Tahoma"/>
            <family val="2"/>
          </rPr>
          <t>1186341526V:</t>
        </r>
        <r>
          <rPr>
            <sz val="9"/>
            <color indexed="81"/>
            <rFont val="Tahoma"/>
            <family val="2"/>
          </rPr>
          <t xml:space="preserve">
assumes doesn't add sqft to house, just more complex roof trusses and shingles</t>
        </r>
      </text>
    </comment>
    <comment ref="U21" authorId="2" shapeId="0" xr:uid="{00000000-0006-0000-0600-00001A000000}">
      <text>
        <r>
          <rPr>
            <b/>
            <sz val="9"/>
            <color indexed="81"/>
            <rFont val="Tahoma"/>
            <family val="2"/>
          </rPr>
          <t>1186341526V:</t>
        </r>
        <r>
          <rPr>
            <sz val="9"/>
            <color indexed="81"/>
            <rFont val="Tahoma"/>
            <family val="2"/>
          </rPr>
          <t xml:space="preserve">
zero unless finished baement, then cost of finishing 1 story basement minus 2 story basement</t>
        </r>
      </text>
    </comment>
    <comment ref="Q22" authorId="0" shapeId="0" xr:uid="{00000000-0006-0000-0600-00001B000000}">
      <text>
        <r>
          <rPr>
            <b/>
            <sz val="9"/>
            <color indexed="81"/>
            <rFont val="Tahoma"/>
            <family val="2"/>
          </rPr>
          <t>Guy:</t>
        </r>
        <r>
          <rPr>
            <sz val="9"/>
            <color indexed="81"/>
            <rFont val="Tahoma"/>
            <family val="2"/>
          </rPr>
          <t xml:space="preserve">
$4 a sqft</t>
        </r>
      </text>
    </comment>
    <comment ref="T22" authorId="2" shapeId="0" xr:uid="{00000000-0006-0000-0600-00001C000000}">
      <text>
        <r>
          <rPr>
            <b/>
            <sz val="9"/>
            <color indexed="81"/>
            <rFont val="Tahoma"/>
            <family val="2"/>
          </rPr>
          <t>1186341526V:</t>
        </r>
        <r>
          <rPr>
            <sz val="9"/>
            <color indexed="81"/>
            <rFont val="Tahoma"/>
            <family val="2"/>
          </rPr>
          <t xml:space="preserve">
- This is just roofing costs associated with the garage.  That is why we subtract off the cost of the roof if there was not a garage
- check on number of stories first
- reference roofing cost chart based on number of cars and stories</t>
        </r>
      </text>
    </comment>
    <comment ref="U22" authorId="2" shapeId="0" xr:uid="{00000000-0006-0000-0600-00001D000000}">
      <text>
        <r>
          <rPr>
            <b/>
            <sz val="9"/>
            <color indexed="81"/>
            <rFont val="Tahoma"/>
            <family val="2"/>
          </rPr>
          <t>1186341526V:</t>
        </r>
        <r>
          <rPr>
            <sz val="9"/>
            <color indexed="81"/>
            <rFont val="Tahoma"/>
            <family val="2"/>
          </rPr>
          <t xml:space="preserve">
- easier to put siding, trim, and paint 1 story</t>
        </r>
      </text>
    </comment>
    <comment ref="U23" authorId="2" shapeId="0" xr:uid="{00000000-0006-0000-0600-00001E000000}">
      <text>
        <r>
          <rPr>
            <b/>
            <sz val="9"/>
            <color indexed="81"/>
            <rFont val="Tahoma"/>
            <family val="2"/>
          </rPr>
          <t>1186341526V:</t>
        </r>
        <r>
          <rPr>
            <sz val="9"/>
            <color indexed="81"/>
            <rFont val="Tahoma"/>
            <family val="2"/>
          </rPr>
          <t xml:space="preserve">
50 cents a sqft of savings</t>
        </r>
      </text>
    </comment>
    <comment ref="T24" authorId="2" shapeId="0" xr:uid="{00000000-0006-0000-0600-00001F000000}">
      <text>
        <r>
          <rPr>
            <b/>
            <sz val="9"/>
            <color indexed="81"/>
            <rFont val="Tahoma"/>
            <family val="2"/>
          </rPr>
          <t>1186341526V:</t>
        </r>
        <r>
          <rPr>
            <sz val="9"/>
            <color indexed="81"/>
            <rFont val="Tahoma"/>
            <family val="2"/>
          </rPr>
          <t xml:space="preserve">
- garage door cost is number of garage doors times per door cost</t>
        </r>
      </text>
    </comment>
    <comment ref="U24" authorId="2" shapeId="0" xr:uid="{00000000-0006-0000-0600-000020000000}">
      <text>
        <r>
          <rPr>
            <b/>
            <sz val="9"/>
            <color indexed="81"/>
            <rFont val="Tahoma"/>
            <family val="2"/>
          </rPr>
          <t>1186341526V:</t>
        </r>
        <r>
          <rPr>
            <sz val="9"/>
            <color indexed="81"/>
            <rFont val="Tahoma"/>
            <family val="2"/>
          </rPr>
          <t xml:space="preserve">
- currently the calculation doesn't account for the garaage siding</t>
        </r>
      </text>
    </comment>
    <comment ref="W24" authorId="2" shapeId="0" xr:uid="{00000000-0006-0000-0600-000021000000}">
      <text>
        <r>
          <rPr>
            <b/>
            <sz val="9"/>
            <color indexed="81"/>
            <rFont val="Tahoma"/>
            <family val="2"/>
          </rPr>
          <t>1186341526V:</t>
        </r>
        <r>
          <rPr>
            <sz val="9"/>
            <color indexed="81"/>
            <rFont val="Tahoma"/>
            <family val="2"/>
          </rPr>
          <t xml:space="preserve">
assume two exterior doors for first floor</t>
        </r>
      </text>
    </comment>
    <comment ref="X24" authorId="2" shapeId="0" xr:uid="{00000000-0006-0000-0600-000022000000}">
      <text>
        <r>
          <rPr>
            <b/>
            <sz val="9"/>
            <color indexed="81"/>
            <rFont val="Tahoma"/>
            <family val="2"/>
          </rPr>
          <t>1186341526V:</t>
        </r>
        <r>
          <rPr>
            <sz val="9"/>
            <color indexed="81"/>
            <rFont val="Tahoma"/>
            <family val="2"/>
          </rPr>
          <t xml:space="preserve">
assume two exterior doors for first floor</t>
        </r>
      </text>
    </comment>
    <comment ref="Y24" authorId="0" shapeId="0" xr:uid="{00000000-0006-0000-0600-000023000000}">
      <text>
        <r>
          <rPr>
            <b/>
            <sz val="9"/>
            <color indexed="81"/>
            <rFont val="Tahoma"/>
            <family val="2"/>
          </rPr>
          <t>Guy:</t>
        </r>
        <r>
          <rPr>
            <sz val="9"/>
            <color indexed="81"/>
            <rFont val="Tahoma"/>
            <family val="2"/>
          </rPr>
          <t xml:space="preserve">
Crude assumption that 2 beams can be set on the same day, which essentially means I'm assuming two rooms will have steel beams on the same floor</t>
        </r>
      </text>
    </comment>
    <comment ref="T26" authorId="2" shapeId="0" xr:uid="{00000000-0006-0000-0600-000024000000}">
      <text>
        <r>
          <rPr>
            <b/>
            <sz val="9"/>
            <color indexed="81"/>
            <rFont val="Tahoma"/>
            <family val="2"/>
          </rPr>
          <t>1186341526V:</t>
        </r>
        <r>
          <rPr>
            <sz val="9"/>
            <color indexed="81"/>
            <rFont val="Tahoma"/>
            <family val="2"/>
          </rPr>
          <t xml:space="preserve">
window cost is cost per window by number of windows per spot by number of spots</t>
        </r>
      </text>
    </comment>
    <comment ref="T28" authorId="2" shapeId="0" xr:uid="{00000000-0006-0000-0600-000025000000}">
      <text>
        <r>
          <rPr>
            <b/>
            <sz val="9"/>
            <color indexed="81"/>
            <rFont val="Tahoma"/>
            <family val="2"/>
          </rPr>
          <t>1186341526V:</t>
        </r>
        <r>
          <rPr>
            <sz val="9"/>
            <color indexed="81"/>
            <rFont val="Tahoma"/>
            <family val="2"/>
          </rPr>
          <t xml:space="preserve">
garage paint drywall costs equal number of drywall sheets times cost per sheet plus the cost to paint the garage</t>
        </r>
      </text>
    </comment>
    <comment ref="W28" authorId="2" shapeId="0" xr:uid="{00000000-0006-0000-0600-000026000000}">
      <text>
        <r>
          <rPr>
            <b/>
            <sz val="9"/>
            <color indexed="81"/>
            <rFont val="Tahoma"/>
            <family val="2"/>
          </rPr>
          <t>1186341526V:</t>
        </r>
        <r>
          <rPr>
            <sz val="9"/>
            <color indexed="81"/>
            <rFont val="Tahoma"/>
            <family val="2"/>
          </rPr>
          <t xml:space="preserve">
assume two exterior doors for first floor</t>
        </r>
      </text>
    </comment>
    <comment ref="X28" authorId="2" shapeId="0" xr:uid="{00000000-0006-0000-0600-000027000000}">
      <text>
        <r>
          <rPr>
            <b/>
            <sz val="9"/>
            <color indexed="81"/>
            <rFont val="Tahoma"/>
            <family val="2"/>
          </rPr>
          <t>1186341526V:</t>
        </r>
        <r>
          <rPr>
            <sz val="9"/>
            <color indexed="81"/>
            <rFont val="Tahoma"/>
            <family val="2"/>
          </rPr>
          <t xml:space="preserve">
assume two exterior doors for first floor</t>
        </r>
      </text>
    </comment>
    <comment ref="K29" authorId="1" shapeId="0" xr:uid="{5E09EB95-2FD8-422C-AA84-041817A9DA76}">
      <text>
        <r>
          <rPr>
            <b/>
            <sz val="9"/>
            <color indexed="81"/>
            <rFont val="Tahoma"/>
            <family val="2"/>
          </rPr>
          <t>guy barth:</t>
        </r>
        <r>
          <rPr>
            <sz val="9"/>
            <color indexed="81"/>
            <rFont val="Tahoma"/>
            <family val="2"/>
          </rPr>
          <t xml:space="preserve">
no vanity in bronze</t>
        </r>
      </text>
    </comment>
    <comment ref="Q30" authorId="2" shapeId="0" xr:uid="{00000000-0006-0000-0600-000028000000}">
      <text>
        <r>
          <rPr>
            <b/>
            <sz val="9"/>
            <color indexed="81"/>
            <rFont val="Tahoma"/>
            <family val="2"/>
          </rPr>
          <t>1186341526V:</t>
        </r>
        <r>
          <rPr>
            <sz val="9"/>
            <color indexed="81"/>
            <rFont val="Tahoma"/>
            <family val="2"/>
          </rPr>
          <t xml:space="preserve">
If vaulted ceiling selected, then extra roof structure and insulation costs included in vaulted ceiling costs.  
Only including 2/3 of drywall costs because ceiling costs included in vaulted ceiling</t>
        </r>
      </text>
    </comment>
    <comment ref="T30" authorId="2" shapeId="0" xr:uid="{00000000-0006-0000-0600-000029000000}">
      <text>
        <r>
          <rPr>
            <b/>
            <sz val="9"/>
            <color indexed="81"/>
            <rFont val="Tahoma"/>
            <family val="2"/>
          </rPr>
          <t>1186341526V:</t>
        </r>
        <r>
          <rPr>
            <sz val="9"/>
            <color indexed="81"/>
            <rFont val="Tahoma"/>
            <family val="2"/>
          </rPr>
          <t xml:space="preserve">
(number of outlets times cost per outlets) plus (number of lights times cost per light)</t>
        </r>
      </text>
    </comment>
    <comment ref="T32" authorId="2" shapeId="0" xr:uid="{00000000-0006-0000-0600-00002A000000}">
      <text>
        <r>
          <rPr>
            <b/>
            <sz val="9"/>
            <color indexed="81"/>
            <rFont val="Tahoma"/>
            <family val="2"/>
          </rPr>
          <t>1186341526V:</t>
        </r>
        <r>
          <rPr>
            <sz val="9"/>
            <color indexed="81"/>
            <rFont val="Tahoma"/>
            <family val="2"/>
          </rPr>
          <t xml:space="preserve">
The driveway needs to be wider at the garage.  Assume bronze driveway is $6 a sqft for asphalt, and assume an extra 12 feet wide of driveway per extra garage size above 2, and extra width is 15' long</t>
        </r>
      </text>
    </comment>
    <comment ref="T33" authorId="0" shapeId="0" xr:uid="{00000000-0006-0000-0600-00002B000000}">
      <text>
        <r>
          <rPr>
            <b/>
            <sz val="9"/>
            <color indexed="81"/>
            <rFont val="Tahoma"/>
            <family val="2"/>
          </rPr>
          <t>Guy:</t>
        </r>
        <r>
          <rPr>
            <sz val="9"/>
            <color indexed="81"/>
            <rFont val="Tahoma"/>
            <family val="2"/>
          </rPr>
          <t xml:space="preserve">
- assumes default garage entry type is not basement entry</t>
        </r>
      </text>
    </comment>
    <comment ref="T37" authorId="2" shapeId="0" xr:uid="{00000000-0006-0000-0600-00002C000000}">
      <text>
        <r>
          <rPr>
            <b/>
            <sz val="9"/>
            <color indexed="81"/>
            <rFont val="Tahoma"/>
            <family val="2"/>
          </rPr>
          <t>1186341526V:</t>
        </r>
        <r>
          <rPr>
            <sz val="9"/>
            <color indexed="81"/>
            <rFont val="Tahoma"/>
            <family val="2"/>
          </rPr>
          <t xml:space="preserve">
- base cost to show up
- then multiply the per sqft slab cost by the sqft</t>
        </r>
      </text>
    </comment>
    <comment ref="T39" authorId="2" shapeId="0" xr:uid="{00000000-0006-0000-0600-00002D000000}">
      <text>
        <r>
          <rPr>
            <b/>
            <sz val="9"/>
            <color indexed="81"/>
            <rFont val="Tahoma"/>
            <family val="2"/>
          </rPr>
          <t>1186341526V:</t>
        </r>
        <r>
          <rPr>
            <sz val="9"/>
            <color indexed="81"/>
            <rFont val="Tahoma"/>
            <family val="2"/>
          </rPr>
          <t xml:space="preserve">
- if slab on grade, footer costs only
- wall costs for default wall height
- assumes 2 walls only as the other two walls are part of house (dividing by 2 for per sqft wall costs)
</t>
        </r>
      </text>
    </comment>
    <comment ref="T43" authorId="2" shapeId="0" xr:uid="{00000000-0006-0000-0600-00002E000000}">
      <text>
        <r>
          <rPr>
            <b/>
            <sz val="9"/>
            <color indexed="81"/>
            <rFont val="Tahoma"/>
            <family val="2"/>
          </rPr>
          <t>1186341526V:</t>
        </r>
        <r>
          <rPr>
            <sz val="9"/>
            <color indexed="81"/>
            <rFont val="Tahoma"/>
            <family val="2"/>
          </rPr>
          <t xml:space="preserve">
- check on number of stories first
- reference roofing cost chart based on number of cars and stories</t>
        </r>
      </text>
    </comment>
    <comment ref="W48" authorId="2" shapeId="0" xr:uid="{00000000-0006-0000-0600-00002F000000}">
      <text>
        <r>
          <rPr>
            <b/>
            <sz val="9"/>
            <color indexed="81"/>
            <rFont val="Tahoma"/>
            <family val="2"/>
          </rPr>
          <t>1186341526V:</t>
        </r>
        <r>
          <rPr>
            <sz val="9"/>
            <color indexed="81"/>
            <rFont val="Tahoma"/>
            <family val="2"/>
          </rPr>
          <t xml:space="preserve">
assume two exterior doors for first floor</t>
        </r>
      </text>
    </comment>
    <comment ref="X48" authorId="2" shapeId="0" xr:uid="{00000000-0006-0000-0600-000030000000}">
      <text>
        <r>
          <rPr>
            <b/>
            <sz val="9"/>
            <color indexed="81"/>
            <rFont val="Tahoma"/>
            <family val="2"/>
          </rPr>
          <t>1186341526V:</t>
        </r>
        <r>
          <rPr>
            <sz val="9"/>
            <color indexed="81"/>
            <rFont val="Tahoma"/>
            <family val="2"/>
          </rPr>
          <t xml:space="preserve">
assume two exterior doors for first floor</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guy barth</author>
    <author>Guy</author>
    <author>1186341526V</author>
  </authors>
  <commentList>
    <comment ref="M3" authorId="0" shapeId="0" xr:uid="{68EC36E9-48D4-42D4-B5E7-6AB68B752111}">
      <text>
        <r>
          <rPr>
            <b/>
            <sz val="9"/>
            <color indexed="81"/>
            <rFont val="Tahoma"/>
            <charset val="1"/>
          </rPr>
          <t>guy barth:</t>
        </r>
        <r>
          <rPr>
            <sz val="9"/>
            <color indexed="81"/>
            <rFont val="Tahoma"/>
            <charset val="1"/>
          </rPr>
          <t xml:space="preserve">
right  now these ICF, SIP, and timber frame costs are the costs above conventional wood framing.  
We need to improve the algorithm to calculate the cost of conventional framing and these other framing options, and the show the difference of the non conventional options</t>
        </r>
      </text>
    </comment>
    <comment ref="I5" authorId="0" shapeId="0" xr:uid="{3B1CE0DB-22D7-4E1E-82BB-5CCF6040D5DA}">
      <text>
        <r>
          <rPr>
            <b/>
            <sz val="9"/>
            <color indexed="81"/>
            <rFont val="Tahoma"/>
            <charset val="1"/>
          </rPr>
          <t>guy barth:</t>
        </r>
        <r>
          <rPr>
            <sz val="9"/>
            <color indexed="81"/>
            <rFont val="Tahoma"/>
            <charset val="1"/>
          </rPr>
          <t xml:space="preserve">
when there is no basement, the footer costs need to be higher because of frost footings.  Right now this is not accounted for.  In other words, the "no basement" option is under estimating the cost of the foundation</t>
        </r>
      </text>
    </comment>
    <comment ref="M5" authorId="1" shapeId="0" xr:uid="{00000000-0006-0000-0700-000001000000}">
      <text>
        <r>
          <rPr>
            <b/>
            <sz val="9"/>
            <color indexed="81"/>
            <rFont val="Tahoma"/>
            <family val="2"/>
          </rPr>
          <t>Guy:</t>
        </r>
        <r>
          <rPr>
            <sz val="9"/>
            <color indexed="81"/>
            <rFont val="Tahoma"/>
            <family val="2"/>
          </rPr>
          <t xml:space="preserve">
wall linear feet (not including height)
T is total square feet of first two floors
G is total square feet of garage
equations assume square homes (close enough if house is rectangle)
1 story front or side entry - 4*sqrt(T+G)
1 story courtyard garage entry - 4*sqrt(T) + 2*sqrt(G)
2 story front or side entry - 4*sqrt((T+G)/2)
2 story courtyard garage entry - 4*sqrt(((T+G)/2)-G) + 2*sqrt(G)
- if basement garage - 4 *sqrt (T)</t>
        </r>
      </text>
    </comment>
    <comment ref="F6" authorId="1" shapeId="0" xr:uid="{00000000-0006-0000-0700-000002000000}">
      <text>
        <r>
          <rPr>
            <b/>
            <sz val="9"/>
            <color indexed="81"/>
            <rFont val="Tahoma"/>
            <family val="2"/>
          </rPr>
          <t>Guy:</t>
        </r>
        <r>
          <rPr>
            <sz val="9"/>
            <color indexed="81"/>
            <rFont val="Tahoma"/>
            <family val="2"/>
          </rPr>
          <t xml:space="preserve">
Subtract garage sqft if the garage is basement entry</t>
        </r>
      </text>
    </comment>
    <comment ref="G6" authorId="1" shapeId="0" xr:uid="{00000000-0006-0000-0700-000003000000}">
      <text>
        <r>
          <rPr>
            <b/>
            <sz val="9"/>
            <color indexed="81"/>
            <rFont val="Tahoma"/>
            <family val="2"/>
          </rPr>
          <t>Guy:</t>
        </r>
        <r>
          <rPr>
            <sz val="9"/>
            <color indexed="81"/>
            <rFont val="Tahoma"/>
            <family val="2"/>
          </rPr>
          <t xml:space="preserve">
- note that basement size is 1st floor size minus garage size if garage is basement entry.  If garage is larger than 1st floor, then basement sqft is zero (whole thing will be a garage)</t>
        </r>
      </text>
    </comment>
    <comment ref="G7" authorId="1" shapeId="0" xr:uid="{00000000-0006-0000-0700-000004000000}">
      <text>
        <r>
          <rPr>
            <b/>
            <sz val="9"/>
            <color indexed="81"/>
            <rFont val="Tahoma"/>
            <family val="2"/>
          </rPr>
          <t>Guy:</t>
        </r>
        <r>
          <rPr>
            <sz val="9"/>
            <color indexed="81"/>
            <rFont val="Tahoma"/>
            <family val="2"/>
          </rPr>
          <t xml:space="preserve">
- footprint of basement is 1st floor, if single story house, make finished basement sqft half of 1st story, otherwise all of basement is finished
- if garage is basement entry and home is two story, then subtract garage sqft from basement size.  For one story, we are not subracting garage sqft because we are already only finishing half of the basement, the unfinished half can fit the garage </t>
        </r>
      </text>
    </comment>
    <comment ref="M7" authorId="1" shapeId="0" xr:uid="{00000000-0006-0000-0700-000005000000}">
      <text>
        <r>
          <rPr>
            <b/>
            <sz val="9"/>
            <color indexed="81"/>
            <rFont val="Tahoma"/>
            <family val="2"/>
          </rPr>
          <t>Guy:</t>
        </r>
        <r>
          <rPr>
            <sz val="9"/>
            <color indexed="81"/>
            <rFont val="Tahoma"/>
            <family val="2"/>
          </rPr>
          <t xml:space="preserve">
- height of wall is floor heights plus 1 foot per extra floor for joists (basement included)</t>
        </r>
      </text>
    </comment>
    <comment ref="I8" authorId="2" shapeId="0" xr:uid="{00000000-0006-0000-0700-000006000000}">
      <text>
        <r>
          <rPr>
            <b/>
            <sz val="9"/>
            <color indexed="81"/>
            <rFont val="Tahoma"/>
            <family val="2"/>
          </rPr>
          <t>1186341526V:</t>
        </r>
        <r>
          <rPr>
            <sz val="9"/>
            <color indexed="81"/>
            <rFont val="Tahoma"/>
            <family val="2"/>
          </rPr>
          <t xml:space="preserve">
doesn't include slab costs</t>
        </r>
      </text>
    </comment>
    <comment ref="Z9" authorId="2" shapeId="0" xr:uid="{00000000-0006-0000-0700-000007000000}">
      <text>
        <r>
          <rPr>
            <b/>
            <sz val="9"/>
            <color indexed="81"/>
            <rFont val="Tahoma"/>
            <family val="2"/>
          </rPr>
          <t>1186341526V:</t>
        </r>
        <r>
          <rPr>
            <sz val="9"/>
            <color indexed="81"/>
            <rFont val="Tahoma"/>
            <family val="2"/>
          </rPr>
          <t xml:space="preserve">
assumes 8' walls</t>
        </r>
      </text>
    </comment>
    <comment ref="AH9" authorId="1" shapeId="0" xr:uid="{00000000-0006-0000-0700-000008000000}">
      <text>
        <r>
          <rPr>
            <b/>
            <sz val="9"/>
            <color indexed="81"/>
            <rFont val="Tahoma"/>
            <family val="2"/>
          </rPr>
          <t>Guy:</t>
        </r>
        <r>
          <rPr>
            <sz val="9"/>
            <color indexed="81"/>
            <rFont val="Tahoma"/>
            <family val="2"/>
          </rPr>
          <t xml:space="preserve">
per sqft</t>
        </r>
      </text>
    </comment>
    <comment ref="F11" authorId="1" shapeId="0" xr:uid="{00000000-0006-0000-0700-000009000000}">
      <text>
        <r>
          <rPr>
            <b/>
            <sz val="9"/>
            <color indexed="81"/>
            <rFont val="Tahoma"/>
            <family val="2"/>
          </rPr>
          <t>Guy:</t>
        </r>
        <r>
          <rPr>
            <sz val="9"/>
            <color indexed="81"/>
            <rFont val="Tahoma"/>
            <family val="2"/>
          </rPr>
          <t xml:space="preserve">
- finished or not, and not including garage</t>
        </r>
      </text>
    </comment>
    <comment ref="Z11" authorId="2" shapeId="0" xr:uid="{00000000-0006-0000-0700-00000A000000}">
      <text>
        <r>
          <rPr>
            <b/>
            <sz val="9"/>
            <color indexed="81"/>
            <rFont val="Tahoma"/>
            <family val="2"/>
          </rPr>
          <t>1186341526V:</t>
        </r>
        <r>
          <rPr>
            <sz val="9"/>
            <color indexed="81"/>
            <rFont val="Tahoma"/>
            <family val="2"/>
          </rPr>
          <t xml:space="preserve">
assumes 8 foot walls</t>
        </r>
      </text>
    </comment>
    <comment ref="AH11" authorId="1" shapeId="0" xr:uid="{00000000-0006-0000-0700-00000B000000}">
      <text>
        <r>
          <rPr>
            <b/>
            <sz val="9"/>
            <color indexed="81"/>
            <rFont val="Tahoma"/>
            <family val="2"/>
          </rPr>
          <t>Guy:</t>
        </r>
        <r>
          <rPr>
            <sz val="9"/>
            <color indexed="81"/>
            <rFont val="Tahoma"/>
            <family val="2"/>
          </rPr>
          <t xml:space="preserve">
Assumes it doesn't take longer for architect to have large rooms</t>
        </r>
      </text>
    </comment>
    <comment ref="AB12" authorId="1" shapeId="0" xr:uid="{00000000-0006-0000-0700-00000C000000}">
      <text>
        <r>
          <rPr>
            <b/>
            <sz val="9"/>
            <color indexed="81"/>
            <rFont val="Tahoma"/>
            <family val="2"/>
          </rPr>
          <t>Guy:</t>
        </r>
        <r>
          <rPr>
            <sz val="9"/>
            <color indexed="81"/>
            <rFont val="Tahoma"/>
            <family val="2"/>
          </rPr>
          <t xml:space="preserve">
Making an assumption that each room over 20x20 requires one steel beam and 2 steel adjustable columns in floor above</t>
        </r>
      </text>
    </comment>
    <comment ref="I14" authorId="2" shapeId="0" xr:uid="{00000000-0006-0000-0700-00000D000000}">
      <text>
        <r>
          <rPr>
            <b/>
            <sz val="9"/>
            <color indexed="81"/>
            <rFont val="Tahoma"/>
            <family val="2"/>
          </rPr>
          <t>1186341526V:</t>
        </r>
        <r>
          <rPr>
            <sz val="9"/>
            <color indexed="81"/>
            <rFont val="Tahoma"/>
            <family val="2"/>
          </rPr>
          <t xml:space="preserve">
subtract off flooring for space used in bedroom, bathroom, and utility room.  Making assumption that a finished basement will include a bedroom and bathroom, and the flooring will be covered in that room
</t>
        </r>
      </text>
    </comment>
    <comment ref="AH14" authorId="1" shapeId="0" xr:uid="{00000000-0006-0000-0700-00000E000000}">
      <text>
        <r>
          <rPr>
            <b/>
            <sz val="9"/>
            <color indexed="81"/>
            <rFont val="Tahoma"/>
            <family val="2"/>
          </rPr>
          <t xml:space="preserve">Guy:
</t>
        </r>
        <r>
          <rPr>
            <sz val="9"/>
            <color indexed="81"/>
            <rFont val="Tahoma"/>
            <family val="2"/>
          </rPr>
          <t>cost per sqft</t>
        </r>
      </text>
    </comment>
    <comment ref="M15" authorId="2" shapeId="0" xr:uid="{00000000-0006-0000-0700-00000F000000}">
      <text>
        <r>
          <rPr>
            <b/>
            <sz val="9"/>
            <color indexed="81"/>
            <rFont val="Tahoma"/>
            <family val="2"/>
          </rPr>
          <t>1186341526V:</t>
        </r>
        <r>
          <rPr>
            <sz val="9"/>
            <color indexed="81"/>
            <rFont val="Tahoma"/>
            <family val="2"/>
          </rPr>
          <t xml:space="preserve">
- increased cost of materials
- need a crane
- might reduce labor time, but probably increases labor quality, which increase cost
- reduces insulation costs, but not that much at the bronze package energy efficieny level.  Savings come from high energy efficiency comparisons</t>
        </r>
      </text>
    </comment>
    <comment ref="F20" authorId="1" shapeId="0" xr:uid="{F3BE58D4-8E67-4634-9A93-DA39F795B053}">
      <text>
        <r>
          <rPr>
            <b/>
            <sz val="9"/>
            <color indexed="81"/>
            <rFont val="Tahoma"/>
            <family val="2"/>
          </rPr>
          <t>Guy:</t>
        </r>
        <r>
          <rPr>
            <sz val="9"/>
            <color indexed="81"/>
            <rFont val="Tahoma"/>
            <family val="2"/>
          </rPr>
          <t xml:space="preserve">
- finished or not, and not including garage</t>
        </r>
      </text>
    </comment>
    <comment ref="U20" authorId="1" shapeId="0" xr:uid="{00000000-0006-0000-0700-000010000000}">
      <text>
        <r>
          <rPr>
            <b/>
            <sz val="9"/>
            <color indexed="81"/>
            <rFont val="Tahoma"/>
            <family val="2"/>
          </rPr>
          <t>Guy:</t>
        </r>
        <r>
          <rPr>
            <sz val="9"/>
            <color indexed="81"/>
            <rFont val="Tahoma"/>
            <family val="2"/>
          </rPr>
          <t xml:space="preserve">
8 foot wallls, 51x57 sqft basement minus 734 garage slab, included excavation and backfilll</t>
        </r>
      </text>
    </comment>
    <comment ref="AB24" authorId="1" shapeId="0" xr:uid="{00000000-0006-0000-0700-000011000000}">
      <text>
        <r>
          <rPr>
            <b/>
            <sz val="9"/>
            <color indexed="81"/>
            <rFont val="Tahoma"/>
            <family val="2"/>
          </rPr>
          <t>Guy:</t>
        </r>
        <r>
          <rPr>
            <sz val="9"/>
            <color indexed="81"/>
            <rFont val="Tahoma"/>
            <family val="2"/>
          </rPr>
          <t xml:space="preserve">
Crude assumption that 2 beams can be set on the same day, which essentially means I'm assuming two rooms will have steel beams on the same floor</t>
        </r>
      </text>
    </comment>
    <comment ref="M27" authorId="1" shapeId="0" xr:uid="{00000000-0006-0000-0700-000012000000}">
      <text>
        <r>
          <rPr>
            <b/>
            <sz val="9"/>
            <color indexed="81"/>
            <rFont val="Tahoma"/>
            <family val="2"/>
          </rPr>
          <t>Guy:</t>
        </r>
        <r>
          <rPr>
            <sz val="9"/>
            <color indexed="81"/>
            <rFont val="Tahoma"/>
            <family val="2"/>
          </rPr>
          <t xml:space="preserve">
calculations below are not being used, I was running a scenario using proffit rd house</t>
        </r>
      </text>
    </comment>
    <comment ref="I29" authorId="1" shapeId="0" xr:uid="{00000000-0006-0000-0700-000013000000}">
      <text>
        <r>
          <rPr>
            <b/>
            <sz val="9"/>
            <color indexed="81"/>
            <rFont val="Tahoma"/>
            <family val="2"/>
          </rPr>
          <t>Guy:</t>
        </r>
        <r>
          <rPr>
            <sz val="9"/>
            <color indexed="81"/>
            <rFont val="Tahoma"/>
            <family val="2"/>
          </rPr>
          <t xml:space="preserve">
- doesn't include slab costs</t>
        </r>
      </text>
    </comment>
    <comment ref="U34" authorId="1" shapeId="0" xr:uid="{00000000-0006-0000-0700-000014000000}">
      <text>
        <r>
          <rPr>
            <b/>
            <sz val="9"/>
            <color indexed="81"/>
            <rFont val="Tahoma"/>
            <family val="2"/>
          </rPr>
          <t>Guy:</t>
        </r>
        <r>
          <rPr>
            <sz val="9"/>
            <color indexed="81"/>
            <rFont val="Tahoma"/>
            <family val="2"/>
          </rPr>
          <t xml:space="preserve">
- assume garage entry is not basement</t>
        </r>
      </text>
    </comment>
    <comment ref="I35" authorId="1" shapeId="0" xr:uid="{00000000-0006-0000-0700-000015000000}">
      <text>
        <r>
          <rPr>
            <b/>
            <sz val="9"/>
            <color indexed="81"/>
            <rFont val="Tahoma"/>
            <family val="2"/>
          </rPr>
          <t>Guy:</t>
        </r>
        <r>
          <rPr>
            <sz val="9"/>
            <color indexed="81"/>
            <rFont val="Tahoma"/>
            <family val="2"/>
          </rPr>
          <t xml:space="preserve">
- only for finished part of basement</t>
        </r>
      </text>
    </comment>
    <comment ref="U36" authorId="1" shapeId="0" xr:uid="{00000000-0006-0000-0700-000016000000}">
      <text>
        <r>
          <rPr>
            <b/>
            <sz val="9"/>
            <color indexed="81"/>
            <rFont val="Tahoma"/>
            <family val="2"/>
          </rPr>
          <t>Guy:</t>
        </r>
        <r>
          <rPr>
            <sz val="9"/>
            <color indexed="81"/>
            <rFont val="Tahoma"/>
            <family val="2"/>
          </rPr>
          <t xml:space="preserve">
- assume garage is not basement entry</t>
        </r>
      </text>
    </comment>
    <comment ref="O100" authorId="1" shapeId="0" xr:uid="{00000000-0006-0000-0700-000017000000}">
      <text>
        <r>
          <rPr>
            <b/>
            <sz val="9"/>
            <color indexed="81"/>
            <rFont val="Tahoma"/>
            <family val="2"/>
          </rPr>
          <t>Guy:</t>
        </r>
        <r>
          <rPr>
            <sz val="9"/>
            <color indexed="81"/>
            <rFont val="Tahoma"/>
            <family val="2"/>
          </rPr>
          <t xml:space="preserve">
- decided not to include paint in bronze package</t>
        </r>
      </text>
    </comment>
    <comment ref="O104" authorId="1" shapeId="0" xr:uid="{00000000-0006-0000-0700-000018000000}">
      <text>
        <r>
          <rPr>
            <b/>
            <sz val="9"/>
            <color indexed="81"/>
            <rFont val="Tahoma"/>
            <family val="2"/>
          </rPr>
          <t>Guy:</t>
        </r>
        <r>
          <rPr>
            <sz val="9"/>
            <color indexed="81"/>
            <rFont val="Tahoma"/>
            <family val="2"/>
          </rPr>
          <t xml:space="preserve">
assumption is that garage height is 3 feet higher than 1st floor height</t>
        </r>
      </text>
    </comment>
    <comment ref="O105" authorId="1" shapeId="0" xr:uid="{00000000-0006-0000-0700-000019000000}">
      <text>
        <r>
          <rPr>
            <b/>
            <sz val="9"/>
            <color indexed="81"/>
            <rFont val="Tahoma"/>
            <family val="2"/>
          </rPr>
          <t>Guy:</t>
        </r>
        <r>
          <rPr>
            <sz val="9"/>
            <color indexed="81"/>
            <rFont val="Tahoma"/>
            <family val="2"/>
          </rPr>
          <t xml:space="preserve">
includes paint and paint supplies</t>
        </r>
      </text>
    </comment>
    <comment ref="O110" authorId="1" shapeId="0" xr:uid="{00000000-0006-0000-0700-00001A000000}">
      <text>
        <r>
          <rPr>
            <b/>
            <sz val="9"/>
            <color indexed="81"/>
            <rFont val="Tahoma"/>
            <family val="2"/>
          </rPr>
          <t>Guy:</t>
        </r>
        <r>
          <rPr>
            <sz val="9"/>
            <color indexed="81"/>
            <rFont val="Tahoma"/>
            <family val="2"/>
          </rPr>
          <t xml:space="preserve">
2 outlets for one stall, then 1 additional per stall over one stall</t>
        </r>
      </text>
    </comment>
    <comment ref="K111" authorId="2" shapeId="0" xr:uid="{00000000-0006-0000-0700-00001B000000}">
      <text>
        <r>
          <rPr>
            <b/>
            <sz val="9"/>
            <color indexed="81"/>
            <rFont val="Tahoma"/>
            <family val="2"/>
          </rPr>
          <t>1186341526V:</t>
        </r>
        <r>
          <rPr>
            <sz val="9"/>
            <color indexed="81"/>
            <rFont val="Tahoma"/>
            <family val="2"/>
          </rPr>
          <t xml:space="preserve">
assumes single 36x80, pre-hung, steel, painted on site for all foor heights</t>
        </r>
      </text>
    </comment>
    <comment ref="K112" authorId="2" shapeId="0" xr:uid="{00000000-0006-0000-0700-00001C000000}">
      <text>
        <r>
          <rPr>
            <b/>
            <sz val="9"/>
            <color indexed="81"/>
            <rFont val="Tahoma"/>
            <family val="2"/>
          </rPr>
          <t>1186341526V:</t>
        </r>
        <r>
          <rPr>
            <sz val="9"/>
            <color indexed="81"/>
            <rFont val="Tahoma"/>
            <family val="2"/>
          </rPr>
          <t xml:space="preserve">
assumes single 36x80, pre-hung, steel, painted on site for all foor heights</t>
        </r>
      </text>
    </comment>
    <comment ref="K113" authorId="2" shapeId="0" xr:uid="{00000000-0006-0000-0700-00001D000000}">
      <text>
        <r>
          <rPr>
            <b/>
            <sz val="9"/>
            <color indexed="81"/>
            <rFont val="Tahoma"/>
            <family val="2"/>
          </rPr>
          <t>1186341526V:</t>
        </r>
        <r>
          <rPr>
            <sz val="9"/>
            <color indexed="81"/>
            <rFont val="Tahoma"/>
            <family val="2"/>
          </rPr>
          <t xml:space="preserve">
assumes single 36x80, pre-hung, steel, painted on site for all foor heights</t>
        </r>
      </text>
    </comment>
    <comment ref="K114" authorId="2" shapeId="0" xr:uid="{00000000-0006-0000-0700-00001E000000}">
      <text>
        <r>
          <rPr>
            <b/>
            <sz val="9"/>
            <color indexed="81"/>
            <rFont val="Tahoma"/>
            <family val="2"/>
          </rPr>
          <t>1186341526V:</t>
        </r>
        <r>
          <rPr>
            <sz val="9"/>
            <color indexed="81"/>
            <rFont val="Tahoma"/>
            <family val="2"/>
          </rPr>
          <t xml:space="preserve">
assumes single 36x80, pre-hung, steel, painted on site for all foor heights</t>
        </r>
      </text>
    </comment>
    <comment ref="K115" authorId="2" shapeId="0" xr:uid="{00000000-0006-0000-0700-00001F000000}">
      <text>
        <r>
          <rPr>
            <b/>
            <sz val="9"/>
            <color indexed="81"/>
            <rFont val="Tahoma"/>
            <family val="2"/>
          </rPr>
          <t>1186341526V:</t>
        </r>
        <r>
          <rPr>
            <sz val="9"/>
            <color indexed="81"/>
            <rFont val="Tahoma"/>
            <family val="2"/>
          </rPr>
          <t xml:space="preserve">
assumes single 36x80, pre-hung, steel, painted on site for all foor heights</t>
        </r>
      </text>
    </comment>
    <comment ref="L135" authorId="2" shapeId="0" xr:uid="{00000000-0006-0000-0700-000020000000}">
      <text>
        <r>
          <rPr>
            <b/>
            <sz val="9"/>
            <color indexed="81"/>
            <rFont val="Tahoma"/>
            <family val="2"/>
          </rPr>
          <t>1186341526V:</t>
        </r>
        <r>
          <rPr>
            <sz val="9"/>
            <color indexed="81"/>
            <rFont val="Tahoma"/>
            <family val="2"/>
          </rPr>
          <t xml:space="preserve">
80" doors</t>
        </r>
      </text>
    </comment>
    <comment ref="L136" authorId="2" shapeId="0" xr:uid="{00000000-0006-0000-0700-000021000000}">
      <text>
        <r>
          <rPr>
            <b/>
            <sz val="9"/>
            <color indexed="81"/>
            <rFont val="Tahoma"/>
            <family val="2"/>
          </rPr>
          <t>1186341526V:</t>
        </r>
        <r>
          <rPr>
            <sz val="9"/>
            <color indexed="81"/>
            <rFont val="Tahoma"/>
            <family val="2"/>
          </rPr>
          <t xml:space="preserve">
84" doors</t>
        </r>
      </text>
    </comment>
    <comment ref="L137" authorId="2" shapeId="0" xr:uid="{00000000-0006-0000-0700-000022000000}">
      <text>
        <r>
          <rPr>
            <b/>
            <sz val="9"/>
            <color indexed="81"/>
            <rFont val="Tahoma"/>
            <family val="2"/>
          </rPr>
          <t>1186341526V:</t>
        </r>
        <r>
          <rPr>
            <sz val="9"/>
            <color indexed="81"/>
            <rFont val="Tahoma"/>
            <family val="2"/>
          </rPr>
          <t xml:space="preserve">
96" doors</t>
        </r>
      </text>
    </comment>
    <comment ref="L138" authorId="2" shapeId="0" xr:uid="{00000000-0006-0000-0700-000023000000}">
      <text>
        <r>
          <rPr>
            <b/>
            <sz val="9"/>
            <color indexed="81"/>
            <rFont val="Tahoma"/>
            <family val="2"/>
          </rPr>
          <t>1186341526V:</t>
        </r>
        <r>
          <rPr>
            <sz val="9"/>
            <color indexed="81"/>
            <rFont val="Tahoma"/>
            <family val="2"/>
          </rPr>
          <t xml:space="preserve">
96" doors with 1' transom</t>
        </r>
      </text>
    </comment>
    <comment ref="L139" authorId="2" shapeId="0" xr:uid="{00000000-0006-0000-0700-000024000000}">
      <text>
        <r>
          <rPr>
            <b/>
            <sz val="9"/>
            <color indexed="81"/>
            <rFont val="Tahoma"/>
            <family val="2"/>
          </rPr>
          <t>1186341526V:</t>
        </r>
        <r>
          <rPr>
            <sz val="9"/>
            <color indexed="81"/>
            <rFont val="Tahoma"/>
            <family val="2"/>
          </rPr>
          <t xml:space="preserve">
96" doors with 1.5' transom</t>
        </r>
      </text>
    </comment>
    <comment ref="J164" authorId="2" shapeId="0" xr:uid="{00000000-0006-0000-0700-000025000000}">
      <text>
        <r>
          <rPr>
            <b/>
            <sz val="9"/>
            <color indexed="81"/>
            <rFont val="Tahoma"/>
            <family val="2"/>
          </rPr>
          <t>1186341526V:</t>
        </r>
        <r>
          <rPr>
            <sz val="9"/>
            <color indexed="81"/>
            <rFont val="Tahoma"/>
            <family val="2"/>
          </rPr>
          <t xml:space="preserve">
don't include for now</t>
        </r>
      </text>
    </comment>
  </commentList>
</comments>
</file>

<file path=xl/sharedStrings.xml><?xml version="1.0" encoding="utf-8"?>
<sst xmlns="http://schemas.openxmlformats.org/spreadsheetml/2006/main" count="4259" uniqueCount="1444">
  <si>
    <t>To Do</t>
  </si>
  <si>
    <t>Make number of windows per sqft dependent on floor.  This is because the 1st floor has the most windows, the 2nd floor has the 2nd most, and the basement has the least)</t>
  </si>
  <si>
    <t>Make basement height calculations like the 1st and 2nd floor</t>
  </si>
  <si>
    <t>Put all inputs into Inputs tab. Right now many inputs are in the calculations and calculations background tabs</t>
  </si>
  <si>
    <t>Notes</t>
  </si>
  <si>
    <t xml:space="preserve">Characterisitc pricing should only be based on the characeristic itself and the sqft.  For example, the garage size price should not go up if the floor height goes up.  The increases floor heights will affect the garage size price in reality, but all of the increases based on height should only be attributed in the height characteristic.  </t>
  </si>
  <si>
    <t>Floor height pricing will depend on the other characteristics.  As an example, if the floor height is increases first, and then the garage height is increased, the floor height pricing will increase at the time the garage size is increased</t>
  </si>
  <si>
    <t>Package Total</t>
  </si>
  <si>
    <t>Total Home Price as Selected</t>
  </si>
  <si>
    <t># Bedrooms</t>
  </si>
  <si>
    <t># Baths</t>
  </si>
  <si>
    <t>Sqft (non-basement)</t>
  </si>
  <si>
    <t>Basement</t>
  </si>
  <si>
    <t>Framing Type</t>
  </si>
  <si>
    <t>Optional Other Rooms</t>
  </si>
  <si>
    <t>Garage Size</t>
  </si>
  <si>
    <t># Stories (non-basement)</t>
  </si>
  <si>
    <t>Floor Heights</t>
  </si>
  <si>
    <t>Other Attributes</t>
  </si>
  <si>
    <t>House Plans &amp; Engineering and Designer</t>
  </si>
  <si>
    <t>Sqft that is highest between min and your selection</t>
  </si>
  <si>
    <t>First Floor</t>
  </si>
  <si>
    <t>2nd Floor</t>
  </si>
  <si>
    <t>Large Rooms</t>
  </si>
  <si>
    <t>Angles/Curves</t>
  </si>
  <si>
    <t>Roof</t>
  </si>
  <si>
    <t>Home Plans &amp; Engineer</t>
  </si>
  <si>
    <t>Interior Designer</t>
  </si>
  <si>
    <t>Plug-In Vehicle Ready</t>
  </si>
  <si>
    <t>Solar Panels</t>
  </si>
  <si>
    <t>Selection</t>
  </si>
  <si>
    <t>Yes, Unfinished</t>
  </si>
  <si>
    <t>Timber Frame</t>
  </si>
  <si>
    <t>Dining Room</t>
  </si>
  <si>
    <t>Yes</t>
  </si>
  <si>
    <t>Very Few</t>
  </si>
  <si>
    <t>Normal</t>
  </si>
  <si>
    <t>Both</t>
  </si>
  <si>
    <t>No</t>
  </si>
  <si>
    <t>Additional Family/Living</t>
  </si>
  <si>
    <t>your selection</t>
  </si>
  <si>
    <t>Office</t>
  </si>
  <si>
    <t>Mud Room</t>
  </si>
  <si>
    <t>Sun Room</t>
  </si>
  <si>
    <t>Breakfast Room</t>
  </si>
  <si>
    <t>Finished Sqft</t>
  </si>
  <si>
    <t>Theater Room</t>
  </si>
  <si>
    <t>Wine Cellar</t>
  </si>
  <si>
    <t>Additional Laundry Room</t>
  </si>
  <si>
    <t>Increase/Decreased based on selections</t>
  </si>
  <si>
    <t>Total Customer Floorplan Cost</t>
  </si>
  <si>
    <t>Other Rooms</t>
  </si>
  <si>
    <t>House Plans &amp; Engineering</t>
  </si>
  <si>
    <t>Home Interior Designer</t>
  </si>
  <si>
    <t>Output</t>
  </si>
  <si>
    <t>Price</t>
  </si>
  <si>
    <t>Cost</t>
  </si>
  <si>
    <t>Feature Group</t>
  </si>
  <si>
    <t>Feature</t>
  </si>
  <si>
    <t>Name</t>
  </si>
  <si>
    <t>As Selected</t>
  </si>
  <si>
    <t>Bronze</t>
  </si>
  <si>
    <t>Silver</t>
  </si>
  <si>
    <t>Gold</t>
  </si>
  <si>
    <t>Platinum</t>
  </si>
  <si>
    <t>Kitchen</t>
  </si>
  <si>
    <t>Bedrooms</t>
  </si>
  <si>
    <t>Master Bedroom</t>
  </si>
  <si>
    <t>Bedroom 2</t>
  </si>
  <si>
    <t>Bedroom 3</t>
  </si>
  <si>
    <t>Bedroom 4</t>
  </si>
  <si>
    <t>Bedroom 5</t>
  </si>
  <si>
    <t>Bedroom 6</t>
  </si>
  <si>
    <t>Bedroom 7</t>
  </si>
  <si>
    <t>Bedroom 8</t>
  </si>
  <si>
    <t>Bathrooms</t>
  </si>
  <si>
    <t>Master Bath</t>
  </si>
  <si>
    <t>Bath 2</t>
  </si>
  <si>
    <t>Bath 3</t>
  </si>
  <si>
    <t>Bath 4</t>
  </si>
  <si>
    <t>Bath 5</t>
  </si>
  <si>
    <t>Bath 6</t>
  </si>
  <si>
    <t>Bath 7</t>
  </si>
  <si>
    <t>Bath 8</t>
  </si>
  <si>
    <t>Main Living Area</t>
  </si>
  <si>
    <t>Laundry Room</t>
  </si>
  <si>
    <t>Garage</t>
  </si>
  <si>
    <t>Interior</t>
  </si>
  <si>
    <t>Stairs</t>
  </si>
  <si>
    <t>Windows</t>
  </si>
  <si>
    <t>Interior Doors</t>
  </si>
  <si>
    <t>Timber Frame Wood and Joint Type</t>
  </si>
  <si>
    <t>Exterior</t>
  </si>
  <si>
    <t>Deck/Patio</t>
  </si>
  <si>
    <t>Porch</t>
  </si>
  <si>
    <t>Exterior Doors</t>
  </si>
  <si>
    <t>Exterior Walls</t>
  </si>
  <si>
    <t>Exterior Trim</t>
  </si>
  <si>
    <t>Exterior Lighting</t>
  </si>
  <si>
    <t>Landscaping</t>
  </si>
  <si>
    <t>Driveway</t>
  </si>
  <si>
    <t>Front Path</t>
  </si>
  <si>
    <t>Behind the scenes</t>
  </si>
  <si>
    <t>Heat &amp; Cooling</t>
  </si>
  <si>
    <t>Energy Efficiency</t>
  </si>
  <si>
    <t>Home Technology</t>
  </si>
  <si>
    <t>Warranty</t>
  </si>
  <si>
    <t>Generator</t>
  </si>
  <si>
    <t>Default</t>
  </si>
  <si>
    <t>Sqft</t>
  </si>
  <si>
    <t># Stories</t>
  </si>
  <si>
    <t>Design Complexity</t>
  </si>
  <si>
    <t>Living Room</t>
  </si>
  <si>
    <t>N/A</t>
  </si>
  <si>
    <t>Other Optional</t>
  </si>
  <si>
    <t>Add-Ons</t>
  </si>
  <si>
    <t>Bedroom</t>
  </si>
  <si>
    <t>Number of bedrooms</t>
  </si>
  <si>
    <t>0 or 1</t>
  </si>
  <si>
    <t>Number of bathrooms</t>
  </si>
  <si>
    <t>Add wood ceiling option to all rooms</t>
  </si>
  <si>
    <t>Master Default</t>
  </si>
  <si>
    <t>Regular default</t>
  </si>
  <si>
    <t>Bedroom default sqft =&gt;</t>
  </si>
  <si>
    <t>Carpet</t>
  </si>
  <si>
    <t>Basic center light (includes electrical labor)</t>
  </si>
  <si>
    <t>No blinds</t>
  </si>
  <si>
    <t>Bronze Total</t>
  </si>
  <si>
    <t>Upgraded Carpet</t>
  </si>
  <si>
    <t>Basic crown moulding added, tray ceiling added</t>
  </si>
  <si>
    <t>Silver Total</t>
  </si>
  <si>
    <t>Separate Paint Color and Feature wall of $5 sqft matarials (assume $6 sqft install on 200 sqft)</t>
  </si>
  <si>
    <t>Manual Blinds</t>
  </si>
  <si>
    <t>Gold Total</t>
  </si>
  <si>
    <t>Separate Paint Color and Feature wall of $15 sqft materials (assume $8 sqft install on 200 sqft)</t>
  </si>
  <si>
    <t>High end trim, bulit in shelving, ceiling beams</t>
  </si>
  <si>
    <t>Motorized Blinds</t>
  </si>
  <si>
    <t>Platinum Total</t>
  </si>
  <si>
    <t>Bathroom</t>
  </si>
  <si>
    <t>sqft</t>
  </si>
  <si>
    <t>Floor and Floor Heat</t>
  </si>
  <si>
    <t>Walls</t>
  </si>
  <si>
    <t>Paint to match rest of floor</t>
  </si>
  <si>
    <t>Vanities/Cabinets, Sinks, Mirrors, Faucets</t>
  </si>
  <si>
    <t>Basic, double vanity for master, singles for other (installation and materials)</t>
  </si>
  <si>
    <t>single tub with shower curtain or basic shower enclosure with framed glass (tile on 3 walls 8 feet high)</t>
  </si>
  <si>
    <t>Lighting</t>
  </si>
  <si>
    <t>Basic light above vanity, additional basic light in center of master (includes electrical labor)</t>
  </si>
  <si>
    <t>different paint color for room</t>
  </si>
  <si>
    <t>upgraded tile (tile on 3 walls 8 feet high), upgraded tub, upgraded glass for shower, second enclosure/tub for master</t>
  </si>
  <si>
    <t>Upgraded light above vanity, light in center of room, light in shower</t>
  </si>
  <si>
    <t>Feature wall of tile/wood of 11' wide, 8' high ($25 sqft installed) plus different paint color $50</t>
  </si>
  <si>
    <t>high end tile and tile on ceiling, large soaking tub, frameless glass, second high end enclosure/tub for master, rain shower fixture</t>
  </si>
  <si>
    <t>high end lighting above mirrors, modern chandilier in center of room, two lights per shower</t>
  </si>
  <si>
    <t>high end toilet, private for master</t>
  </si>
  <si>
    <t>stone/tile/wood on majority/all of walls of 30' linear, 9' high ($25 sqft installed) plus special paint on ceiling ($200)</t>
  </si>
  <si>
    <t>very high end tile and tile on ceiling, large jet tub, high end frameless glass, second high end enclosure/tub for master, rain shower and plus jets</t>
  </si>
  <si>
    <t>very high end lighting above mirrors, expensive modern chandilier in center of room, two lights per shower</t>
  </si>
  <si>
    <t>Size as selected</t>
  </si>
  <si>
    <t>Angles and Floor Heights Change</t>
  </si>
  <si>
    <t>16x12,  6x3 island</t>
  </si>
  <si>
    <t>Fixed</t>
  </si>
  <si>
    <t>Cabinets and Pantry</t>
  </si>
  <si>
    <t>Appliances</t>
  </si>
  <si>
    <t>Countertops</t>
  </si>
  <si>
    <t>L1 Granite, L1 Butcher Block</t>
  </si>
  <si>
    <t>Sinks/Faucets</t>
  </si>
  <si>
    <t>Moen stainless steel drop in 25" single basin sink, single stainless steel pull out faucet</t>
  </si>
  <si>
    <t>Walls, Ceiling, Trim, Window Treatments</t>
  </si>
  <si>
    <t>GE Profile, Samsung Level 2,  Includes 36" Fridge, Range, range hood, Microwave, and Dishwasher, quiter disposal</t>
  </si>
  <si>
    <t>Level 3 Granite, Level 3 Butcher Block, Level 1 Marble, Quart/Silestone, Concrete, Recycled glass</t>
  </si>
  <si>
    <t>Moen Stainless steel undermount 32" double/single, $450 faucet/soap dispenser allowance</t>
  </si>
  <si>
    <t>Level 4 Granite, Butcher Block, Level 3 Marble, Quart / Silestone, Soapstone, Concrete, Recycled Glass, Level 1 stainless steel</t>
  </si>
  <si>
    <t>2 sinks - $2,500 allowance, Faucets/Soap Dispenser - 2 Moen motion sensor, or $1500 allowance</t>
  </si>
  <si>
    <t>Level 5 Granite, Marble, Butcher Block, Quart / Silestone, Soapstone, Concrete, Stainless Steel, Recyled Glass, Leve 3 Zinc</t>
  </si>
  <si>
    <t>2 Sinks - $5,000 allowance, 2 faucets, $4,000 allowance</t>
  </si>
  <si>
    <t>Level 5 backsplash below cabinets, custom beams/ceiling with $10,000 allowance installed, manual window treatments</t>
  </si>
  <si>
    <t>Walls and Wall Trim</t>
  </si>
  <si>
    <t>Ceiling</t>
  </si>
  <si>
    <t>Ceiling Paint, no crown</t>
  </si>
  <si>
    <t>Window Treatments</t>
  </si>
  <si>
    <t>None</t>
  </si>
  <si>
    <t>$100-$200 fixture allowance for lighting (small to big house) (assumes 1 or 2 surface mounted lights)</t>
  </si>
  <si>
    <t>Fireplace and Surround</t>
  </si>
  <si>
    <t>Basic fireplace with tile surround (level 1 only immediately surrounding fireplace)</t>
  </si>
  <si>
    <t>Ceiling Trim</t>
  </si>
  <si>
    <t>ceiling paint with crown</t>
  </si>
  <si>
    <t>none</t>
  </si>
  <si>
    <t xml:space="preserve"> one to two light/fans and 4-8 recessed lights</t>
  </si>
  <si>
    <t>upgrade fireplace with upgrade tile or basic stone surround (tile/stone around, but not up to ceiling</t>
  </si>
  <si>
    <t>coffered or tray ceiling with crown</t>
  </si>
  <si>
    <t>Manul Blinds</t>
  </si>
  <si>
    <t>one signature light fixture, one to two lights/fans, 4-8 recessed lights</t>
  </si>
  <si>
    <t>high end fireplace with stone surround up to ceiling</t>
  </si>
  <si>
    <t>*</t>
  </si>
  <si>
    <t>wood tongue and groove with beams or very high end coffered</t>
  </si>
  <si>
    <t>one signature light fixture, one to two lights/fans, 4-8 recessed lights, accent led/rope lighting</t>
  </si>
  <si>
    <t>very high end fireplace with very high end two sided stone surround</t>
  </si>
  <si>
    <t>Washer and Dryer</t>
  </si>
  <si>
    <t>Cabinets</t>
  </si>
  <si>
    <t>Countertop</t>
  </si>
  <si>
    <t>Sink and faucet</t>
  </si>
  <si>
    <t>Walls and Ceiling</t>
  </si>
  <si>
    <t>Floor</t>
  </si>
  <si>
    <t>Level 1 tile</t>
  </si>
  <si>
    <t>surfaced mounted light</t>
  </si>
  <si>
    <t>Samsung WF42H5200AP washer and Samsun DV42H5200EP dryer or equivalent</t>
  </si>
  <si>
    <t>6-10 linear feet of basic painted lower and upper cabinets</t>
  </si>
  <si>
    <t>6-10 linear feet of level 1 granite</t>
  </si>
  <si>
    <t>2 upgraded surface mounted light</t>
  </si>
  <si>
    <t>Whirlpool WFW97HEDBD washer and WED97HEDBD dryer</t>
  </si>
  <si>
    <t>10-15 linear feet of upgraded lower and upper cabinets</t>
  </si>
  <si>
    <t>10-15 linear feet of level 3 granite</t>
  </si>
  <si>
    <t>recessed lighting and under cabinet lighting</t>
  </si>
  <si>
    <t>10-15 linear feet of high end lower and upper cabinets</t>
  </si>
  <si>
    <t>10-15 linear feet of level 5 granite</t>
  </si>
  <si>
    <t>1 sink - $1500 allowance, Faucets/Soap Dispenser - 1 Moen motion sensor, or $800 allowance</t>
  </si>
  <si>
    <t>Ceiling Paint, upgraded crown, Painted walls, level 5 tile or level 3 stone on half of walls, upgraded baseboards</t>
  </si>
  <si>
    <t>Level 5 tile or upgraded wood</t>
  </si>
  <si>
    <t>recessed lighting, under cabinet lighting, and 1-2 chandeliers</t>
  </si>
  <si>
    <t>Basic Ceiling Mounted Fixture, $100 allowance</t>
  </si>
  <si>
    <t>Flooring</t>
  </si>
  <si>
    <t>Fireplace</t>
  </si>
  <si>
    <t>Basic Chandelier - $300 allowance</t>
  </si>
  <si>
    <t>one signature light fixture, 4-8 recessed lights</t>
  </si>
  <si>
    <t>one signature light fixture, 4-8 recessed lights, accent led/rope lighting</t>
  </si>
  <si>
    <t>Level 5 solid wood</t>
  </si>
  <si>
    <t>very high end fireplace with great surround</t>
  </si>
  <si>
    <t>1-2 basic fan lights</t>
  </si>
  <si>
    <t>Level 2 carpet</t>
  </si>
  <si>
    <t>Entry Door</t>
  </si>
  <si>
    <t>Basic hollowcore</t>
  </si>
  <si>
    <t>Sound Insulation</t>
  </si>
  <si>
    <t>Double Door with office look</t>
  </si>
  <si>
    <t>high end double door</t>
  </si>
  <si>
    <t>quiet</t>
  </si>
  <si>
    <t>high end fire place with high end surround</t>
  </si>
  <si>
    <t>very high end entry door</t>
  </si>
  <si>
    <t>virtually silent</t>
  </si>
  <si>
    <t>Walls, Wall Trim, Windows</t>
  </si>
  <si>
    <t>Wood tongue and groove</t>
  </si>
  <si>
    <t>1-2 signature light fixtures, 4-8 recessed lights, accent led/rope lighting</t>
  </si>
  <si>
    <t>good fireplace with stone surround up to ceiling</t>
  </si>
  <si>
    <t>high end fireplace with great surround</t>
  </si>
  <si>
    <t>Storage/Hangars</t>
  </si>
  <si>
    <t>Painted white open storage 9-18 linear feet with 4-6 foot bench</t>
  </si>
  <si>
    <t>Shower/Tub</t>
  </si>
  <si>
    <t>Painted white open storage 9-18 linear feet with 4-6 foot bench, add upper cabinets and bottom drawers</t>
  </si>
  <si>
    <t>Basic Utility Sink with cabinet</t>
  </si>
  <si>
    <t>1-2 Upgraded surface mounted light</t>
  </si>
  <si>
    <t>Painted white open storage 9-18 linear feet with 4-6 foot bench, custom upper cabinets and bottom drawers</t>
  </si>
  <si>
    <t>4-8 linear feet of level 3 granite</t>
  </si>
  <si>
    <t>Ceiling Paint, crown on ceiling, Painted walls, level 3 tile backsplash countertop, upgraded baseboards</t>
  </si>
  <si>
    <t>Shower</t>
  </si>
  <si>
    <t>4x3 (5x3 for larger house) Level 2 tile shower with basic handheld fixture</t>
  </si>
  <si>
    <t>10-15 linear feet of high end lower and upper cabinets with bench</t>
  </si>
  <si>
    <t>6-12 recessed lighting, under cabinet lighting, and 1-2 chandeliers</t>
  </si>
  <si>
    <t>5x3' level 4 tile with no glass</t>
  </si>
  <si>
    <t>bronze/silver size</t>
  </si>
  <si>
    <t>gold/platinum size</t>
  </si>
  <si>
    <t>Temp/Humidity system</t>
  </si>
  <si>
    <t>Through the wall cooling</t>
  </si>
  <si>
    <t>Insulation Level</t>
  </si>
  <si>
    <t>Basic batt insulation and sealing</t>
  </si>
  <si>
    <t>Painted green board</t>
  </si>
  <si>
    <t>Polised Concrete or level 1 tile</t>
  </si>
  <si>
    <t>Racking, Cabinetry, Countertops</t>
  </si>
  <si>
    <t>Basic "off the shelf" wine racks, no cabinets or countertops</t>
  </si>
  <si>
    <t>Basic surface mounted light</t>
  </si>
  <si>
    <t>Door</t>
  </si>
  <si>
    <t>Basic insulated wood and glass door</t>
  </si>
  <si>
    <t>Upgraded batt insulation and ceiling</t>
  </si>
  <si>
    <t>Tongue and Groove Pine Ceiling</t>
  </si>
  <si>
    <t>Level 2 tile or basic wood laminate</t>
  </si>
  <si>
    <t>Custom installed "off the shelf" mid level racking, 36" floor cabinet, no countertop</t>
  </si>
  <si>
    <t>4 recessed lights</t>
  </si>
  <si>
    <t>Upgraded insuulated wood and glass door</t>
  </si>
  <si>
    <t>Split System Cooling</t>
  </si>
  <si>
    <t>Spray Foam Insulation</t>
  </si>
  <si>
    <t>Leve 3 stone/brick or Level 3 tile or Level 3 wood (covering 1/3 of wall)</t>
  </si>
  <si>
    <t xml:space="preserve">Leve 3 stone/brick or Level 3 tile or Level 3 wood </t>
  </si>
  <si>
    <t>Level 4 tile or level 4 engineered wood</t>
  </si>
  <si>
    <t>Custom upgraded wood racks and cabinets, plus level 4/3 granite/marble counter</t>
  </si>
  <si>
    <t>6-10 recessed lights plus one signature light</t>
  </si>
  <si>
    <t xml:space="preserve">Basic Insulated Glass glass door or high end wood/glass door </t>
  </si>
  <si>
    <t>High end split system cooling</t>
  </si>
  <si>
    <t>Leve 5 stone/brick or Level 5 tile or Level 5 wood (covering 1/3 of wall)</t>
  </si>
  <si>
    <t>Leve 5 stone/brick or Level 5 tile or Level 5 wood</t>
  </si>
  <si>
    <t>Level 5 tile or level 5 engineered wood or level 5 stone/brick</t>
  </si>
  <si>
    <t>Custom high end racks, cabinets, and countertop</t>
  </si>
  <si>
    <t>6-10 recessed lights plus two high end signature lights</t>
  </si>
  <si>
    <t>Full insulated glass wall with insulated door with 8-12 linear feet</t>
  </si>
  <si>
    <t>Theater</t>
  </si>
  <si>
    <t>Seating arrangement</t>
  </si>
  <si>
    <t>Wiring, Audio, and Video Components</t>
  </si>
  <si>
    <t>In wall/ceiling wiring for 7.2 sound, projector/tv, and components, ceiilng mount ready, plus 5 wall/ceiling speakers</t>
  </si>
  <si>
    <t>upgraded carpet</t>
  </si>
  <si>
    <t>wiring, 5.1 speakers, stereo, projector, screen</t>
  </si>
  <si>
    <t>fiberglass insulation on two interior walls, ceilings/walls whisper clips, channels, 2 sheets of drywall, green glue, automatic door bottom and door gasket, solid core door</t>
  </si>
  <si>
    <t>ceiling to allow rope accept lighting plus crown molding</t>
  </si>
  <si>
    <t>upgraded everything - wiring, 7.2, speakers, stereo, projector, screen</t>
  </si>
  <si>
    <t>Wall lights, recessed lights, accent lighting</t>
  </si>
  <si>
    <t>Walls wrapped in custom fabric with custioning</t>
  </si>
  <si>
    <t>night sky ceiling</t>
  </si>
  <si>
    <t>plush carpet</t>
  </si>
  <si>
    <t>high end system - wiring, 7.2, speakers, stereo, projector, screen</t>
  </si>
  <si>
    <t>upgraded Wall lights and accent lighting, recessed lights</t>
  </si>
  <si>
    <t>regular concrete</t>
  </si>
  <si>
    <t>Walls, Stairs, Ceiling</t>
  </si>
  <si>
    <t>Doors</t>
  </si>
  <si>
    <t>single double door (plus single for 3 car, plus 2nd double for 4 car), no windows, no insulation, basic opener</t>
  </si>
  <si>
    <t>Storage</t>
  </si>
  <si>
    <t>Insulation</t>
  </si>
  <si>
    <t>Heating/Cooling</t>
  </si>
  <si>
    <t>220V</t>
  </si>
  <si>
    <t>Sink</t>
  </si>
  <si>
    <t>painted walls/ceiling, painted stairs with drywall wall and railing as necessary</t>
  </si>
  <si>
    <t>single  doors, windows, wifi opener</t>
  </si>
  <si>
    <t>Epoxy painted floor</t>
  </si>
  <si>
    <t>single doors, wood look if desired, windows, wifi opener</t>
  </si>
  <si>
    <t>Gladiator medium garage 26 piece package</t>
  </si>
  <si>
    <t>Batt Insulation to code</t>
  </si>
  <si>
    <t>floor tiles</t>
  </si>
  <si>
    <t>painted walls/ceiling, wood or metal stairs, drywall wall and railing as necessary</t>
  </si>
  <si>
    <t>single wood high end doors with wifi openers</t>
  </si>
  <si>
    <t>Gladiator Premier Makeover 37-Piece Package</t>
  </si>
  <si>
    <t>heated/cooled space from central system</t>
  </si>
  <si>
    <t>one 220v outlet</t>
  </si>
  <si>
    <t>utility sink</t>
  </si>
  <si>
    <t>Customer Default Total</t>
  </si>
  <si>
    <t>Builder Default Total</t>
  </si>
  <si>
    <t>Electric Vehicle Ready</t>
  </si>
  <si>
    <t>Conventional Wood</t>
  </si>
  <si>
    <t>Neither</t>
  </si>
  <si>
    <t>Options</t>
  </si>
  <si>
    <t>Sqft Options</t>
  </si>
  <si>
    <t>Other Rooms Options</t>
  </si>
  <si>
    <t>Optoins</t>
  </si>
  <si>
    <t>Ranges</t>
  </si>
  <si>
    <t>Very Simple</t>
  </si>
  <si>
    <t>SIP Walls</t>
  </si>
  <si>
    <t>Few</t>
  </si>
  <si>
    <t>Simple</t>
  </si>
  <si>
    <t>Engineering Only</t>
  </si>
  <si>
    <t>Yes, Finished</t>
  </si>
  <si>
    <t>Moderate</t>
  </si>
  <si>
    <t>Many</t>
  </si>
  <si>
    <t>Complex</t>
  </si>
  <si>
    <t>Very Many</t>
  </si>
  <si>
    <t>Very Complex</t>
  </si>
  <si>
    <t>Packages</t>
  </si>
  <si>
    <t>Additional Options</t>
  </si>
  <si>
    <t>Builder Cost</t>
  </si>
  <si>
    <t>Customer Cost</t>
  </si>
  <si>
    <t>Profit</t>
  </si>
  <si>
    <t>Multiplier</t>
  </si>
  <si>
    <t>Garage Costs based on selected garage size and sqft and rest default</t>
  </si>
  <si>
    <t>Current Costs</t>
  </si>
  <si>
    <t>Number of 25' steel beams per room</t>
  </si>
  <si>
    <t>Construction cost without angles/curves</t>
  </si>
  <si>
    <t>Roof cost for normal roof per sqft, including trusses</t>
  </si>
  <si>
    <t>Plan change for size</t>
  </si>
  <si>
    <t>One conduit to and box in garage</t>
  </si>
  <si>
    <t>calculation used for min</t>
  </si>
  <si>
    <t>Total Cost of Bronze</t>
  </si>
  <si>
    <t>Garage Sqft</t>
  </si>
  <si>
    <t>1 story differences</t>
  </si>
  <si>
    <t>Basement multiplier</t>
  </si>
  <si>
    <t>Insulation Costs</t>
  </si>
  <si>
    <t>Plan change for large rooms</t>
  </si>
  <si>
    <t>Outlets</t>
  </si>
  <si>
    <t>No 2nd Floor Stairs</t>
  </si>
  <si>
    <t>Number of 25' steel beams in house</t>
  </si>
  <si>
    <t>Increase in construction costs</t>
  </si>
  <si>
    <t>Sqft of roof</t>
  </si>
  <si>
    <t>Plan change for angles/curves</t>
  </si>
  <si>
    <t>Increased price for basement design</t>
  </si>
  <si>
    <t>Top of sqft range selected</t>
  </si>
  <si>
    <t>Bronze Package</t>
  </si>
  <si>
    <t>Slab Costs</t>
  </si>
  <si>
    <t>Basement finished multiplier</t>
  </si>
  <si>
    <t>Framing Costs</t>
  </si>
  <si>
    <t>Plan change for roof</t>
  </si>
  <si>
    <t>Trim</t>
  </si>
  <si>
    <t>Roof Increase</t>
  </si>
  <si>
    <t>Cost of steel beams in house</t>
  </si>
  <si>
    <t>Normal roof cost including trusses</t>
  </si>
  <si>
    <t>Total Plan Change</t>
  </si>
  <si>
    <t>Increased price per sqft</t>
  </si>
  <si>
    <t>Sqft above default</t>
  </si>
  <si>
    <t>Foundation</t>
  </si>
  <si>
    <t>Concrete Wall Costs</t>
  </si>
  <si>
    <t>Drywall Costs</t>
  </si>
  <si>
    <t>Drywall</t>
  </si>
  <si>
    <t>Foundation Increase</t>
  </si>
  <si>
    <t>Number of steal columns per beam</t>
  </si>
  <si>
    <t>Multiplier for roof complexity</t>
  </si>
  <si>
    <t>Engineering change for size</t>
  </si>
  <si>
    <t>Total price</t>
  </si>
  <si>
    <t>Framing and Subfloor</t>
  </si>
  <si>
    <t>Paint Costs</t>
  </si>
  <si>
    <t>Engineering change for large rooms</t>
  </si>
  <si>
    <t>Paint</t>
  </si>
  <si>
    <t>Basement Finishing Increase</t>
  </si>
  <si>
    <t>Number of steel columns in house</t>
  </si>
  <si>
    <t>Roof cost of selection including trusses</t>
  </si>
  <si>
    <t>Engineering change for angles/curves</t>
  </si>
  <si>
    <t>Roofing Costs</t>
  </si>
  <si>
    <t>Engineering change for roof</t>
  </si>
  <si>
    <t>Size multiplier</t>
  </si>
  <si>
    <t>Exterior Labor Savings</t>
  </si>
  <si>
    <t>Cost of steel columns in house</t>
  </si>
  <si>
    <t>Difference between selection and normal</t>
  </si>
  <si>
    <t>Total Engineering Change</t>
  </si>
  <si>
    <t>Garage Doors</t>
  </si>
  <si>
    <t>Exterior Door</t>
  </si>
  <si>
    <t>Size Increase</t>
  </si>
  <si>
    <t>Crane days needed to place beams</t>
  </si>
  <si>
    <t>Total Plan and Engineering Change</t>
  </si>
  <si>
    <t>Garage Windows</t>
  </si>
  <si>
    <t>Window Trim</t>
  </si>
  <si>
    <t>Office Door</t>
  </si>
  <si>
    <t>Cost of crane(s)</t>
  </si>
  <si>
    <t>Plan Default plus Change</t>
  </si>
  <si>
    <t>Garage Paint/Drywall</t>
  </si>
  <si>
    <t>Exterior Door Trim</t>
  </si>
  <si>
    <t>Engineering Default plus Change</t>
  </si>
  <si>
    <t>Vanity/Sink/Plumbing</t>
  </si>
  <si>
    <t>Plumbing</t>
  </si>
  <si>
    <t>Welder hours per beam</t>
  </si>
  <si>
    <t>Total Plans and Engineering</t>
  </si>
  <si>
    <t>Garage Outlets/Lights</t>
  </si>
  <si>
    <t>Interior Doors and Trim</t>
  </si>
  <si>
    <t>Electrical</t>
  </si>
  <si>
    <t>Welder costs for house beams</t>
  </si>
  <si>
    <t>Garage Costs based on current sqft, default garage size and rest default</t>
  </si>
  <si>
    <t>Default Costs</t>
  </si>
  <si>
    <t>Garage costs selection over default</t>
  </si>
  <si>
    <t>Current minus default</t>
  </si>
  <si>
    <t>Stories</t>
  </si>
  <si>
    <t>Unfinished Cost</t>
  </si>
  <si>
    <t>includes non-sqft costs</t>
  </si>
  <si>
    <t>Per spot sqft</t>
  </si>
  <si>
    <t>1st Floor</t>
  </si>
  <si>
    <t>2nd floor</t>
  </si>
  <si>
    <t>House Plan Default</t>
  </si>
  <si>
    <t>4 min</t>
  </si>
  <si>
    <t>no stairs</t>
  </si>
  <si>
    <t>Engineering Default</t>
  </si>
  <si>
    <t>1st floor height</t>
  </si>
  <si>
    <t>stair cost</t>
  </si>
  <si>
    <t>Insulation wall cost per sqft of house</t>
  </si>
  <si>
    <t>Prince William Roof Pricing</t>
  </si>
  <si>
    <t>Extra 1st floor sqft</t>
  </si>
  <si>
    <t>Shingle Roof</t>
  </si>
  <si>
    <t>Framing labor/lumber cost per sqft</t>
  </si>
  <si>
    <t>5 min</t>
  </si>
  <si>
    <t>Addtl Finishing Cost</t>
  </si>
  <si>
    <t>Extra 2nd floor sqft</t>
  </si>
  <si>
    <t>Roof Decking and other materials</t>
  </si>
  <si>
    <t>Plan increase cost per large room</t>
  </si>
  <si>
    <t># drywall sheets for 9' celings</t>
  </si>
  <si>
    <t>Trusses</t>
  </si>
  <si>
    <t>Slab cost to show up</t>
  </si>
  <si>
    <t>6 min</t>
  </si>
  <si>
    <t>Roof Sqft extra</t>
  </si>
  <si>
    <t>Framing labor</t>
  </si>
  <si>
    <t>Extra slab cost per sqft</t>
  </si>
  <si>
    <t>2 story footprint sqft</t>
  </si>
  <si>
    <t>Total Finishing Cost</t>
  </si>
  <si>
    <t>Garage Roof</t>
  </si>
  <si>
    <t>Crane</t>
  </si>
  <si>
    <t>1 story footprint sqft</t>
  </si>
  <si>
    <t>7/8 min</t>
  </si>
  <si>
    <t>Foundation wall cost</t>
  </si>
  <si>
    <t>basement_height</t>
  </si>
  <si>
    <t>cars</t>
  </si>
  <si>
    <t>Per Sqft Roof Pricing Including Trusses</t>
  </si>
  <si>
    <t>Approx cpsf 8' wall foundation</t>
  </si>
  <si>
    <t>Approx cpsf 9' wall foundation</t>
  </si>
  <si>
    <t>Approx cpsf 10' wall foundation</t>
  </si>
  <si>
    <t>Approx cpsf 11' wall foundation</t>
  </si>
  <si>
    <t>Unfinished Cost/Sqft</t>
  </si>
  <si>
    <t>Approx cpsf 12' wall foundation</t>
  </si>
  <si>
    <t>Sqft of 2 story foundation</t>
  </si>
  <si>
    <t>Addtl Finishing Cost/Sqft</t>
  </si>
  <si>
    <t>Total Finishing Cost/Sqft</t>
  </si>
  <si>
    <t>Roofing Cost</t>
  </si>
  <si>
    <t>floors</t>
  </si>
  <si>
    <t>Concrete Walls and Footers</t>
  </si>
  <si>
    <t>Footers only</t>
  </si>
  <si>
    <t>cost/sqft</t>
  </si>
  <si>
    <t>Per Garage Door Cost</t>
  </si>
  <si>
    <t>Cost per window</t>
  </si>
  <si>
    <t># Windows Per Parking Spot</t>
  </si>
  <si>
    <t>Windows per sqft</t>
  </si>
  <si>
    <t>Per Window Cost</t>
  </si>
  <si>
    <t>Garage Drywall and Paint</t>
  </si>
  <si>
    <t>selections</t>
  </si>
  <si>
    <t>default</t>
  </si>
  <si>
    <t>default except for # spots</t>
  </si>
  <si>
    <t>Drywall Sheets</t>
  </si>
  <si>
    <t>Ceiling Sqft per spot</t>
  </si>
  <si>
    <t>Ceiling Sqft for the garage</t>
  </si>
  <si>
    <t>Baseboards</t>
  </si>
  <si>
    <t>Wall Sqft</t>
  </si>
  <si>
    <t>Height of Wall</t>
  </si>
  <si>
    <t>Linear Feet of wall</t>
  </si>
  <si>
    <t>4x12 sheet sqft</t>
  </si>
  <si>
    <t>Framing</t>
  </si>
  <si>
    <t>Labor and Material Per Sheet</t>
  </si>
  <si>
    <t>Materials Cost</t>
  </si>
  <si>
    <t>Paint costs per garage spot</t>
  </si>
  <si>
    <t>paint/primer man days for 1 car 8' ceilings</t>
  </si>
  <si>
    <t>Materials Cost/Sqft</t>
  </si>
  <si>
    <t>Extra spots multiplier</t>
  </si>
  <si>
    <t>Labor Cost/Sqft</t>
  </si>
  <si>
    <t>Taller floor multiplier</t>
  </si>
  <si>
    <t>Scaffolding multiplier if FF 10 or higher</t>
  </si>
  <si>
    <t>Paint Costs per man day</t>
  </si>
  <si>
    <t>Paint Man Days</t>
  </si>
  <si>
    <t>Paint cost</t>
  </si>
  <si>
    <t>Garage Outlets and Lights</t>
  </si>
  <si>
    <t>selection</t>
  </si>
  <si>
    <t>Lights Per Stall</t>
  </si>
  <si>
    <t>Lights</t>
  </si>
  <si>
    <t>Cost Per Outlet</t>
  </si>
  <si>
    <t>Cost Per Light</t>
  </si>
  <si>
    <t>Framing cost per sqft</t>
  </si>
  <si>
    <t>labor per sqft</t>
  </si>
  <si>
    <t>lumber per sqft</t>
  </si>
  <si>
    <t>Cost/Sqft</t>
  </si>
  <si>
    <t>Int + Ext Window trim</t>
  </si>
  <si>
    <t>Bsmnt Doors per sqft</t>
  </si>
  <si>
    <t>1st floor doors per sqft</t>
  </si>
  <si>
    <t>2nd floor doors per sqft</t>
  </si>
  <si>
    <t>Cost per door/trim</t>
  </si>
  <si>
    <t>Finished Bathroom</t>
  </si>
  <si>
    <t>Attributes Inputs</t>
  </si>
  <si>
    <t>Foundation savings from converting to slab on grade vs. 8' walls</t>
  </si>
  <si>
    <t>Foundation increase when changing from 2 story to 1 story</t>
  </si>
  <si>
    <t>Basement finishing increase when changing from 2 story to 1 story</t>
  </si>
  <si>
    <t>Increase per 1' height increase of foundation wall</t>
  </si>
  <si>
    <t>Framing labor and lumber increase per foot of higher walls</t>
  </si>
  <si>
    <t>Drywall Increases per foot of higher walls</t>
  </si>
  <si>
    <t>Paint Increaes per foot of higher walls</t>
  </si>
  <si>
    <t>Insulation Increaes per foot of higher walls</t>
  </si>
  <si>
    <t>Window cost increase per foot of higher walls (assumes taller windows for taller walls)</t>
  </si>
  <si>
    <t>Exterior and interior trim increase for windows</t>
  </si>
  <si>
    <t>Interior door, including trim, cost increase per foot of higher walls</t>
  </si>
  <si>
    <t>Drywall 4x12 sheets divider for 9' ceilings (divide sqft by this number for # of sheets)</t>
  </si>
  <si>
    <t>Cost Per Steel Beam</t>
  </si>
  <si>
    <t>Cost Per Steel Adjustable Column</t>
  </si>
  <si>
    <t>Crane cost for steel beams per day</t>
  </si>
  <si>
    <t>Welder per hour cost</t>
  </si>
  <si>
    <t>Angles/curves cost multiplier</t>
  </si>
  <si>
    <t>Plans multiplier for angles/curves</t>
  </si>
  <si>
    <t>Engineering multiplier for angles/curves</t>
  </si>
  <si>
    <t>Roof cost multiplier</t>
  </si>
  <si>
    <t>Plans multiplier for roof</t>
  </si>
  <si>
    <t>Engineering multiplier for roof</t>
  </si>
  <si>
    <t>Package Inputs</t>
  </si>
  <si>
    <t>Sqft to package pricing of room multiplier</t>
  </si>
  <si>
    <t>Floor height to package pricing of room multplier</t>
  </si>
  <si>
    <t>Angles room cost multiplier</t>
  </si>
  <si>
    <t>one</t>
  </si>
  <si>
    <t>two</t>
  </si>
  <si>
    <t>three</t>
  </si>
  <si>
    <t>four</t>
  </si>
  <si>
    <t>five</t>
  </si>
  <si>
    <t>Bedroom blinds multiplier based on window package level</t>
  </si>
  <si>
    <t>bronze</t>
  </si>
  <si>
    <t>silver</t>
  </si>
  <si>
    <t>gold</t>
  </si>
  <si>
    <t>platinum</t>
  </si>
  <si>
    <t>Window Trim Multiplier based on window package level</t>
  </si>
  <si>
    <t>Window multiplier based on energy efficiency pakcage level</t>
  </si>
  <si>
    <t>Window Multiplier based on window package level</t>
  </si>
  <si>
    <t>Flooring - Main living areas, kitchen, &amp; non-room</t>
  </si>
  <si>
    <t>Finished Basement</t>
  </si>
  <si>
    <t>Wet Bar</t>
  </si>
  <si>
    <t>Ceiling mounted lights per sqft</t>
  </si>
  <si>
    <t>Cost per light</t>
  </si>
  <si>
    <t>assumes $75 with fixture, .0045 lights per sqft</t>
  </si>
  <si>
    <t>Basic carpet</t>
  </si>
  <si>
    <t>Closet Door</t>
  </si>
  <si>
    <t>Extra Drywall and Paint</t>
  </si>
  <si>
    <t>Extra light</t>
  </si>
  <si>
    <t>Extra Framing lumber</t>
  </si>
  <si>
    <t>Change to recessed lights, double amount of lights</t>
  </si>
  <si>
    <t>basic carpet</t>
  </si>
  <si>
    <t>ceiling pain with upgraded crown</t>
  </si>
  <si>
    <t>assume it is included in flooring package</t>
  </si>
  <si>
    <t>upgraded fireplace with stone surround up to ceiling</t>
  </si>
  <si>
    <t>Floor cabinets, level 1 granite, basic sink and faucet, beverage fridge, painted back wall</t>
  </si>
  <si>
    <t>level 3 engineered wood</t>
  </si>
  <si>
    <t>level 5 engineered wood</t>
  </si>
  <si>
    <t>Upgraded cabinets, level 3 granite, undermount and upgraded faucet, upgraded fridge, ice maker, stone back wall, floating shelves, disposal</t>
  </si>
  <si>
    <t>Upgraded cabinets, level 4 marble, high end sink/faucet,  subzero fridge, high end ice maker, high end stone back wall, floating shelves, shelve lighting</t>
  </si>
  <si>
    <t>Unfinished Basement</t>
  </si>
  <si>
    <t>Powder Room</t>
  </si>
  <si>
    <t>Bath rough-in</t>
  </si>
  <si>
    <t>Wet Bar-in Rough-In</t>
  </si>
  <si>
    <t>HVAC</t>
  </si>
  <si>
    <t>Bare Concrete</t>
  </si>
  <si>
    <t>All walls framed for planned layout, insulation to match upper two floors</t>
  </si>
  <si>
    <t>HVAC sized for basement and ducts run to framed rooms</t>
  </si>
  <si>
    <t>Bathroom roughed in for tub and two sinks</t>
  </si>
  <si>
    <t>Wet bar rough-in for sink, dishwasher and ice maker</t>
  </si>
  <si>
    <t>HVAC sized for basement, ducts run to framed rooms, and separate zone for basement</t>
  </si>
  <si>
    <t>Only framing for structural walls and exterior walls, minimum insulation</t>
  </si>
  <si>
    <t>Only framing for structural walls and exterior walls, Insulation to match upper two floors</t>
  </si>
  <si>
    <t>Unfinished basement insulation costs per sqft given energy efficiency selection</t>
  </si>
  <si>
    <t>HVAC unit sized for future use, but ducts not run</t>
  </si>
  <si>
    <t>Bathroom roughed in for tub and one sink</t>
  </si>
  <si>
    <t>Loft</t>
  </si>
  <si>
    <t>Basement Stairs</t>
  </si>
  <si>
    <t>Basement Railings</t>
  </si>
  <si>
    <t>2nd floor Stairs</t>
  </si>
  <si>
    <t>2nd floor Railings</t>
  </si>
  <si>
    <t>Loft Railings</t>
  </si>
  <si>
    <t>Loft Stairs</t>
  </si>
  <si>
    <t>stairs needed?</t>
  </si>
  <si>
    <t>Paint grade stairs</t>
  </si>
  <si>
    <t>One side wall rail stained</t>
  </si>
  <si>
    <t>Metal ballasters with stained rail 1/3rd, rest stained rail</t>
  </si>
  <si>
    <t>Cable railings</t>
  </si>
  <si>
    <t>Painted risers with stained oak treads, 1/3rd stairs open wall at 42"</t>
  </si>
  <si>
    <t>Painted risers with stained oak treads, 1/3rd stairs open wall at 56"</t>
  </si>
  <si>
    <t>Floating stairs</t>
  </si>
  <si>
    <t>Painted risers with stained exotic wood treads, 100% open at 42"</t>
  </si>
  <si>
    <t>High end Cable or glass</t>
  </si>
  <si>
    <t>Adjusted for Floor Heights</t>
  </si>
  <si>
    <t>Size</t>
  </si>
  <si>
    <t>Quantity</t>
  </si>
  <si>
    <t>Average</t>
  </si>
  <si>
    <t>Double Hung</t>
  </si>
  <si>
    <t>Type</t>
  </si>
  <si>
    <t>Above average</t>
  </si>
  <si>
    <t>Double hung with a few custom size/shape</t>
  </si>
  <si>
    <t>Well above average</t>
  </si>
  <si>
    <t>Casement and a few custom size/shape</t>
  </si>
  <si>
    <t>Most are custom size/shape</t>
  </si>
  <si>
    <t>Window Cost for average size, standard shape, double hung, basic efficiency</t>
  </si>
  <si>
    <t>Decrease in windows per sqft as house size increases</t>
  </si>
  <si>
    <t>Package Multiplier</t>
  </si>
  <si>
    <t>non-basement sqft</t>
  </si>
  <si>
    <t>Avg Qnty w/ sqft</t>
  </si>
  <si>
    <t>Floor Height Multplier</t>
  </si>
  <si>
    <t>Final Size Multiplier</t>
  </si>
  <si>
    <t>Very Large</t>
  </si>
  <si>
    <t>Numerous</t>
  </si>
  <si>
    <t>Total</t>
  </si>
  <si>
    <t>Attributes</t>
  </si>
  <si>
    <t>Price Per Sqft</t>
  </si>
  <si>
    <t>Attributes Price</t>
  </si>
  <si>
    <t>Trim, and Window Treatments</t>
  </si>
  <si>
    <t>Elevator Shaft</t>
  </si>
  <si>
    <t>Elevator</t>
  </si>
  <si>
    <t>Hardware</t>
  </si>
  <si>
    <t>Cost/Multiplier</t>
  </si>
  <si>
    <t>Nickel or ORB Common all</t>
  </si>
  <si>
    <t>6' 8" all if 8' or 9' ceilings, 8' for if 10' or higher ceilings, normal widths</t>
  </si>
  <si>
    <t>6' 8" all, normal widths</t>
  </si>
  <si>
    <t>upgraded ORB or nickel</t>
  </si>
  <si>
    <t>Solid Core, double door for master</t>
  </si>
  <si>
    <t>6' 8" for 8', 7'0" for 9', 8' for 10' or higher, normal widths</t>
  </si>
  <si>
    <t>real bronze or equivalent</t>
  </si>
  <si>
    <t>higher end ORB or nickel</t>
  </si>
  <si>
    <t>Angles change</t>
  </si>
  <si>
    <t>painted walls, no additional trim (framing, drywall, outlets, hvac, and paint included in attribute selection)</t>
  </si>
  <si>
    <t>recessed lighting plus one center fan/light</t>
  </si>
  <si>
    <t>recessed lighting plus one upgraded center fan/light</t>
  </si>
  <si>
    <t>Baseboards &amp; Window &amp; Door Trim</t>
  </si>
  <si>
    <t>Deck or Patio</t>
  </si>
  <si>
    <t>14x24 Level 4 materials, stairs included</t>
  </si>
  <si>
    <t>14x24 level 4 materials with roof, stairs included</t>
  </si>
  <si>
    <t>14x24 Level 2 materials or 12x14 Level 3 materials, stairs included</t>
  </si>
  <si>
    <t>Deck Materials</t>
  </si>
  <si>
    <t>Deck Labor</t>
  </si>
  <si>
    <t>Patio Materials</t>
  </si>
  <si>
    <t>Patio Labor</t>
  </si>
  <si>
    <t>12x14 Level 2 materials, no stairs for deck</t>
  </si>
  <si>
    <t>Deck Materials larger</t>
  </si>
  <si>
    <t>Deck Labor larger</t>
  </si>
  <si>
    <t>Patio Materials larger</t>
  </si>
  <si>
    <t>Patio Labor larger</t>
  </si>
  <si>
    <t>Trex Transcend and Trex Reveal Railings</t>
  </si>
  <si>
    <t>Trex Select and Vinyl Railings</t>
  </si>
  <si>
    <t>Trex Select and vinyl railings</t>
  </si>
  <si>
    <t>Angles Change</t>
  </si>
  <si>
    <t>30 hours for two carpenters</t>
  </si>
  <si>
    <t>$10 a sqft for stone, sand, etc.</t>
  </si>
  <si>
    <t>$7 a sqft for labor</t>
  </si>
  <si>
    <t>40 hours for two carpenters</t>
  </si>
  <si>
    <t>$13 a sqft for stone, sand, etc.</t>
  </si>
  <si>
    <t>sum of labor and materials</t>
  </si>
  <si>
    <t>Trex Transcend, upgraded trim, and Cable railings</t>
  </si>
  <si>
    <t>50 hours for two carpenters</t>
  </si>
  <si>
    <t>$20 a sqft for stone, sand, etc.</t>
  </si>
  <si>
    <t>Framing materials/labor, column/ceiling trim material/labor, electrical material/labor, gutters, roofing</t>
  </si>
  <si>
    <t>Sqft of Loft</t>
  </si>
  <si>
    <t>Trusses, joists, and framing</t>
  </si>
  <si>
    <t>Upgraded trim - crown and built in shelves</t>
  </si>
  <si>
    <t>no window treatments</t>
  </si>
  <si>
    <t>crown molding</t>
  </si>
  <si>
    <t>upgraded crown molding ($5 sqft), blinds on windows</t>
  </si>
  <si>
    <t>high end crown molding ($8 sqft),  motorized blinds on windows</t>
  </si>
  <si>
    <t>Paint wall/ceiling</t>
  </si>
  <si>
    <t>Painted walls</t>
  </si>
  <si>
    <t>Different color painted walls</t>
  </si>
  <si>
    <t>One feature wall of stone/wood, up to 15-25' wide (small to large house), wainscoating</t>
  </si>
  <si>
    <t>Ceiling Paint, no crown, Painted walls</t>
  </si>
  <si>
    <t>Ceiling Paint, crown on ceiling, Painted walls, level 3 tile backsplash on half of countertop</t>
  </si>
  <si>
    <t>Ceiling Paint, upgraded crown, Painted walls, level 5 tile or level 3 stone on half of walls</t>
  </si>
  <si>
    <t>feature wall of stone/wood (14-18 long wall in small to large house) or combined with built-ins, or wall paper all walls, wainscoating</t>
  </si>
  <si>
    <t>Different color painted walls wth basic chair rail molding</t>
  </si>
  <si>
    <t>feature wall of stone/wood (15-25 long wall in small to large house) or combined with built-ins, or wall paper all walls, wainscoating</t>
  </si>
  <si>
    <t>feature wall of stone/wood, (15-25 long wall in small to large house) or combined with built-ins, or wall paper all walls wainscoating</t>
  </si>
  <si>
    <t>10-18 feet of built-ins, wallaper or other wall feature</t>
  </si>
  <si>
    <t>10-18 feet of high end built-ins, wallaper or other wall feature</t>
  </si>
  <si>
    <t>feature wall of stone/wood (10-15 long wall in small to large house) or combined with built-ins, or wall paper all walls, wainscoating</t>
  </si>
  <si>
    <t>feature wall of high end stone/wood (10-15 long wall in small to large house) or combined with built-ins, or wall paper all walls, wainscoating</t>
  </si>
  <si>
    <t>painted walls (framing, drywall, and pain included in attribute selection)</t>
  </si>
  <si>
    <t>feature wall of stone/wood (15-25 long wall in small to large basement) or combined with built-ins, or wall paper all walls</t>
  </si>
  <si>
    <t>Deck Type Materials</t>
  </si>
  <si>
    <t>Deck Type Labor</t>
  </si>
  <si>
    <t>Materials</t>
  </si>
  <si>
    <t>Labor</t>
  </si>
  <si>
    <t>Small, 6x10, and Basic (assumes 4 steps 4 feet wide)</t>
  </si>
  <si>
    <t>Concrete included in materials, railing 4 hours for 2 carpenters</t>
  </si>
  <si>
    <t>16 hours for 2 carpenters</t>
  </si>
  <si>
    <t>Deck type materials</t>
  </si>
  <si>
    <t>Deck type labor</t>
  </si>
  <si>
    <t>Materials Large</t>
  </si>
  <si>
    <t>Labor Large</t>
  </si>
  <si>
    <t>Deck type labor large</t>
  </si>
  <si>
    <t>Deck type materials large</t>
  </si>
  <si>
    <t>concrete included in materials, flagstone/tile per sqft, railing 4 hours for 2 carpenters</t>
  </si>
  <si>
    <t>Trex select with trex reveal railings (pressure treated lumber for structure)</t>
  </si>
  <si>
    <t>Concrete surface and steps with basic vinyl railing</t>
  </si>
  <si>
    <t>Trex select with basic vinyl railing (pressure treated lumber for structure)</t>
  </si>
  <si>
    <t>Concrete included in materials, railing 6-10 hours for 2 carpenters</t>
  </si>
  <si>
    <t>sqft of large porch based on house sqft</t>
  </si>
  <si>
    <t>Small- 6x10 and Upgraded or Large- 8x20-50 (depends on house size) and Basic</t>
  </si>
  <si>
    <t>concrete base with low end flagstone or level 2 tile and trex reveal railing</t>
  </si>
  <si>
    <t>24-32 hours for 2 carpenters</t>
  </si>
  <si>
    <t>Medium - 8x15-30 and Higher End</t>
  </si>
  <si>
    <t>concrete base with medium end flagstone or level 4 tile and trex reveal railing</t>
  </si>
  <si>
    <t>sqft of medium porch</t>
  </si>
  <si>
    <t>Trex Transcend with cable railings</t>
  </si>
  <si>
    <t>20-28 hours for 2 carpenters</t>
  </si>
  <si>
    <t>Large - 8x20-50 and High End</t>
  </si>
  <si>
    <t>High end flagstone with or level 4 tile and cable railing</t>
  </si>
  <si>
    <t>Front Size</t>
  </si>
  <si>
    <t>Front Hardware</t>
  </si>
  <si>
    <t>Front Type</t>
  </si>
  <si>
    <t>6'8, 36"</t>
  </si>
  <si>
    <t>Patio/Deck Size</t>
  </si>
  <si>
    <t>Patio/Deck Hardware</t>
  </si>
  <si>
    <t>Patio/Deck Type</t>
  </si>
  <si>
    <t>Basement Size</t>
  </si>
  <si>
    <t>Basement Hardware</t>
  </si>
  <si>
    <t>Basement Type</t>
  </si>
  <si>
    <t>6'8, sliding 70.5" wide</t>
  </si>
  <si>
    <t>FiberGlass pre-stained with half lite</t>
  </si>
  <si>
    <t>6' 8" if 8' or 9' ceilings, 8' if 10' or higher ceilings, 36" wide, sidelights</t>
  </si>
  <si>
    <t>6'8 if 8' or 9' ceilings, 8' if 10' or higher ceilings, french 60"</t>
  </si>
  <si>
    <t>6' 8" if 8' or 9' ceilings, 8' if 10' or higher ceilings, 42" wide, transom, sidelights</t>
  </si>
  <si>
    <t>FiberGlass pre-stained with most lite options</t>
  </si>
  <si>
    <t>Anderson 200 series Patio</t>
  </si>
  <si>
    <t>Labor Section 1</t>
  </si>
  <si>
    <t>Materials Section 1</t>
  </si>
  <si>
    <t>Materials Section 2</t>
  </si>
  <si>
    <t>Labor Section 2</t>
  </si>
  <si>
    <t xml:space="preserve">Courtyard garage entry increases costs because there is more wall, more foundation, and more roof.  It could be 1-2% of the attributes price, but for now we are not going to create an attribute selection to account for this.  </t>
  </si>
  <si>
    <t>Attribute pricing assumes the garage is attached</t>
  </si>
  <si>
    <t>material siding 2 story</t>
  </si>
  <si>
    <t>labor siding 2 story</t>
  </si>
  <si>
    <t>total siding per sqft</t>
  </si>
  <si>
    <t>siding per sqft 1 story</t>
  </si>
  <si>
    <t>Siding Savings</t>
  </si>
  <si>
    <t>Above foundation sqft</t>
  </si>
  <si>
    <t>Foundation Exposed Sqft</t>
  </si>
  <si>
    <t>Front Wall Level 2 Brick</t>
  </si>
  <si>
    <t>Side and Back Walls Vinyl</t>
  </si>
  <si>
    <t>cost per sqft</t>
  </si>
  <si>
    <t>sqft in section</t>
  </si>
  <si>
    <t>Plug-in Vehicle Ready</t>
  </si>
  <si>
    <t>Other Rooms and Options</t>
  </si>
  <si>
    <t>cost</t>
  </si>
  <si>
    <t>Garage Entry</t>
  </si>
  <si>
    <t>Front</t>
  </si>
  <si>
    <t>Side</t>
  </si>
  <si>
    <t>Courtyard</t>
  </si>
  <si>
    <t>wall height</t>
  </si>
  <si>
    <t>total exterior wall length</t>
  </si>
  <si>
    <t>Materials Section 3 Foundation Wall</t>
  </si>
  <si>
    <t>Labor Section 3 Foundation Wall</t>
  </si>
  <si>
    <t>Materials Section 3</t>
  </si>
  <si>
    <t>Labor Section 3</t>
  </si>
  <si>
    <t>2 feet of front foundation wall level 2 brick, rest of foundation unfinished (front foundatoin all brick if bsmsnt garage entry)</t>
  </si>
  <si>
    <t>Hardie on 3/4 of front and 100% of sides and rear</t>
  </si>
  <si>
    <t>remainder of foundation painted</t>
  </si>
  <si>
    <t>sides and rear all brick</t>
  </si>
  <si>
    <t>all brick foundation</t>
  </si>
  <si>
    <t>update prices and sqft for garage entry attribute -  selection affects foundation, garage, framing, insulation, windows (siding and trim too, but those have already been adjusted)</t>
  </si>
  <si>
    <t>Exterior Walls and Trim</t>
  </si>
  <si>
    <t>Trim Materials</t>
  </si>
  <si>
    <t>Trim Labor</t>
  </si>
  <si>
    <t>Windsor One - basic window, door, corner, soffit, fascia, freeze board, porch columns, porch roof</t>
  </si>
  <si>
    <t>Basic Trim</t>
  </si>
  <si>
    <t>Windsor One - more detail</t>
  </si>
  <si>
    <t>Upgraded detail</t>
  </si>
  <si>
    <t>stone and brick trim/corners, wood porch columns and ceiling</t>
  </si>
  <si>
    <t>mason install all trim except for wood porch columns and ceiling</t>
  </si>
  <si>
    <t>stone trim/corners, high end wood porch columns and ceiling</t>
  </si>
  <si>
    <t>no longer using</t>
  </si>
  <si>
    <t>cost per light</t>
  </si>
  <si>
    <t>number lights</t>
  </si>
  <si>
    <t>Front Door and Garage Lights</t>
  </si>
  <si>
    <t>Porch Lights</t>
  </si>
  <si>
    <t>Deck/Patio Lights</t>
  </si>
  <si>
    <t>Up Lighting</t>
  </si>
  <si>
    <t>Driveway Lighting</t>
  </si>
  <si>
    <t>Flood Lights</t>
  </si>
  <si>
    <t>none additional to front door light</t>
  </si>
  <si>
    <t>none additional to deck/patio door light</t>
  </si>
  <si>
    <t>Porch Package</t>
  </si>
  <si>
    <t>Sqft of House</t>
  </si>
  <si>
    <t>Basement?</t>
  </si>
  <si>
    <t>2 upgrade lights for front door, and one upgrade light per garage door</t>
  </si>
  <si>
    <t>one basic light per door (assume one per garage)</t>
  </si>
  <si>
    <t>recessed lights, quantity based on porch package</t>
  </si>
  <si>
    <t>Deck/Patio Package</t>
  </si>
  <si>
    <t>Basement Door Lights</t>
  </si>
  <si>
    <t>one basic light</t>
  </si>
  <si>
    <t>Deck/Patio Door</t>
  </si>
  <si>
    <t>one light for small, two additional for large (lights in addition to door light(s)</t>
  </si>
  <si>
    <t>2 high end lights for front door, and one high end light per garage door</t>
  </si>
  <si>
    <t>2 upgraded lights</t>
  </si>
  <si>
    <t>2 basic lights</t>
  </si>
  <si>
    <t>lights based on deck/patio level (lights in addition to door light(s)</t>
  </si>
  <si>
    <t>based on size of house</t>
  </si>
  <si>
    <t>4 lights</t>
  </si>
  <si>
    <t>2 very high end lights for front door, and one very high end light per garage door</t>
  </si>
  <si>
    <t>2 high end lights</t>
  </si>
  <si>
    <t>pendant lights, quantity based on porch package</t>
  </si>
  <si>
    <t>upgraded lights based on deck/patio level (lights in addition to door light(s)</t>
  </si>
  <si>
    <t>8 lights</t>
  </si>
  <si>
    <t>Primary Roof</t>
  </si>
  <si>
    <t>Porch Roof</t>
  </si>
  <si>
    <t>Metal</t>
  </si>
  <si>
    <t>Sqft of Roof</t>
  </si>
  <si>
    <t>Wall length</t>
  </si>
  <si>
    <t>Porch Sqft</t>
  </si>
  <si>
    <t>Cedar, Synthetic Slate, or Metal</t>
  </si>
  <si>
    <t>Slate</t>
  </si>
  <si>
    <t>Everything</t>
  </si>
  <si>
    <t>Structural</t>
  </si>
  <si>
    <t>Angles Cost</t>
  </si>
  <si>
    <t>1 year</t>
  </si>
  <si>
    <t>5 year</t>
  </si>
  <si>
    <t>2 year</t>
  </si>
  <si>
    <t>10 year</t>
  </si>
  <si>
    <t>3 year</t>
  </si>
  <si>
    <t>15 year</t>
  </si>
  <si>
    <t>Attributes Cost</t>
  </si>
  <si>
    <t>Mutiplier</t>
  </si>
  <si>
    <t>Total Cost w/o Warranty</t>
  </si>
  <si>
    <t>Window Materials</t>
  </si>
  <si>
    <t>Door Materials</t>
  </si>
  <si>
    <t>Window Labor</t>
  </si>
  <si>
    <t>Door Labor</t>
  </si>
  <si>
    <t>Baseboard Materials</t>
  </si>
  <si>
    <t>Baseboard Labor</t>
  </si>
  <si>
    <t>Window Quantity</t>
  </si>
  <si>
    <t>Window Size Multplier</t>
  </si>
  <si>
    <t>Door Size Multiplier</t>
  </si>
  <si>
    <t>quantity</t>
  </si>
  <si>
    <t>cost per</t>
  </si>
  <si>
    <t>1x4 primed all around</t>
  </si>
  <si>
    <t>Door Sides Quantity</t>
  </si>
  <si>
    <t>Install, nail filling, and paint</t>
  </si>
  <si>
    <t>4" simple primed base</t>
  </si>
  <si>
    <t>5" ogee primed base</t>
  </si>
  <si>
    <t>High end primed or medium end real wood</t>
  </si>
  <si>
    <t>Install, nail filling, and paint and sand (or just paint)</t>
  </si>
  <si>
    <t>Very High End Primed or High End real wood</t>
  </si>
  <si>
    <t>craftsman style</t>
  </si>
  <si>
    <t>Center Fan light plus 4 recessed lights</t>
  </si>
  <si>
    <t>painted walls</t>
  </si>
  <si>
    <t>1st system size</t>
  </si>
  <si>
    <t>2nd system size</t>
  </si>
  <si>
    <t>Efficiency</t>
  </si>
  <si>
    <t>Zoning</t>
  </si>
  <si>
    <t>multplier</t>
  </si>
  <si>
    <t>1 story finished basement sqft</t>
  </si>
  <si>
    <t>2 story basement finishing cost</t>
  </si>
  <si>
    <t>1 story basement finishing cost</t>
  </si>
  <si>
    <t>Non-basement/garage Sqft</t>
  </si>
  <si>
    <t>Basic Shingle Roof Per sqft cost</t>
  </si>
  <si>
    <t>Roof Sqft based on default Garage Entry Type</t>
  </si>
  <si>
    <t>Garage Entry Type</t>
  </si>
  <si>
    <t>2 story finished basement sqft</t>
  </si>
  <si>
    <t>updated basement and roof sqft calcuations on 23 Dec, need to updated other calculations using old methods</t>
  </si>
  <si>
    <t>Unfinished basement</t>
  </si>
  <si>
    <t>Gas Furnace and AC Unit sized for top floor if house more than 2500 or has 3 finished floors</t>
  </si>
  <si>
    <t>Gas Furnace and AC Unit sized for up to two floors if under 2500</t>
  </si>
  <si>
    <t>Base Cost</t>
  </si>
  <si>
    <t>80-89%</t>
  </si>
  <si>
    <t>90-94%</t>
  </si>
  <si>
    <t>Gas Furnace and AC Unit</t>
  </si>
  <si>
    <t>95-98%</t>
  </si>
  <si>
    <t>Gas Furnace and AC Unit sized to house less than 4000 finished sqft</t>
  </si>
  <si>
    <t>3rd system size</t>
  </si>
  <si>
    <t>Gas Furnace and AC if more than 8,000 finished sqft</t>
  </si>
  <si>
    <t>only if more than 4000 finished sqft</t>
  </si>
  <si>
    <t>one per system, or dual zone single system for 2500 sqft with 2 or less finished floors</t>
  </si>
  <si>
    <t>1-2 additional zones to systems (3-5 zones total)</t>
  </si>
  <si>
    <t>2-4 additional zones to systems (4-7 zones total)</t>
  </si>
  <si>
    <t>Thermostat</t>
  </si>
  <si>
    <t>Convetional Wood</t>
  </si>
  <si>
    <t>Conventional Wood Basement</t>
  </si>
  <si>
    <t>SIP Basement</t>
  </si>
  <si>
    <t>Timber Frame Basement</t>
  </si>
  <si>
    <t>Convetional Wood Ceiling</t>
  </si>
  <si>
    <t>SIP Ceiling</t>
  </si>
  <si>
    <t>Timber Frame Ceiling</t>
  </si>
  <si>
    <t>Min panel thickness to reach insulation code</t>
  </si>
  <si>
    <t>Poured concrete, Batt Insulation to code</t>
  </si>
  <si>
    <t>2x6 framing, increased batt insluation</t>
  </si>
  <si>
    <t>Poured concrete, Increased batt insulation</t>
  </si>
  <si>
    <t>Increased panel thickness to above code</t>
  </si>
  <si>
    <t>to Code</t>
  </si>
  <si>
    <t>7-10 year payback</t>
  </si>
  <si>
    <t>14-17 year payback</t>
  </si>
  <si>
    <t>Poured concrete, 1/2" closed cell, Increased batt insulation</t>
  </si>
  <si>
    <t>Foundation Sqft</t>
  </si>
  <si>
    <t>total</t>
  </si>
  <si>
    <t>Savings per month needed for 10 year payback</t>
  </si>
  <si>
    <t>Savings per month needed for 7 year payback</t>
  </si>
  <si>
    <t>Savings per month needed for 17 year payback</t>
  </si>
  <si>
    <t>Savings per month needed for 14 year payback</t>
  </si>
  <si>
    <t>2x6 framing, increased batt insulation, 1.5" closed cell, zip sheathing</t>
  </si>
  <si>
    <t>Thick panel thickness to well above code plus zip sheathing</t>
  </si>
  <si>
    <t>2x6 framing, 3" closed cell on inside, 2" R-13 rigid foam outside, zip sheathing</t>
  </si>
  <si>
    <t>Savings per month needed for 25 year payback</t>
  </si>
  <si>
    <t>Poured concrete, 3" closed cell</t>
  </si>
  <si>
    <t>20-25 year payback</t>
  </si>
  <si>
    <t>Savings per month needed for 20 year payback</t>
  </si>
  <si>
    <t>Very Thick panel thickness to well above code plus zip sheathing</t>
  </si>
  <si>
    <t>Front Door Lock</t>
  </si>
  <si>
    <t>Front Door Camera</t>
  </si>
  <si>
    <t>Thermostats</t>
  </si>
  <si>
    <t>Interior Cameras</t>
  </si>
  <si>
    <t>Security Alarm</t>
  </si>
  <si>
    <t>Smoke/Fire Alarm</t>
  </si>
  <si>
    <t>Exterior Security Cameras/Lights</t>
  </si>
  <si>
    <t>Motorized Blinds Control</t>
  </si>
  <si>
    <t>Voice Control Smart Speaker</t>
  </si>
  <si>
    <t>Zoned Speakers</t>
  </si>
  <si>
    <t>keypad (no bluetooth or wifi)</t>
  </si>
  <si>
    <t>basic digital</t>
  </si>
  <si>
    <t>Wifi enabled (August Lock is current choice)</t>
  </si>
  <si>
    <t>HD video, motion sensor, communicate using app (SkyBell is current choice)</t>
  </si>
  <si>
    <t>base cost</t>
  </si>
  <si>
    <t>extra unit cost per sqft</t>
  </si>
  <si>
    <t>sqft costs</t>
  </si>
  <si>
    <t>Break-in and motion, non-monitored, but will alert phones (Fotress is current choice)</t>
  </si>
  <si>
    <t>one wifi connected regardless of number of zones</t>
  </si>
  <si>
    <t>removed, include in home technology</t>
  </si>
  <si>
    <t>Front and rear motion sensor flood lights</t>
  </si>
  <si>
    <t>Amazon Echo</t>
  </si>
  <si>
    <t>app connected (nest is current choice)</t>
  </si>
  <si>
    <t>Wifi connected per HVAC zone (nest current choice)</t>
  </si>
  <si>
    <t>include under home technology now</t>
  </si>
  <si>
    <t>4 flood lights</t>
  </si>
  <si>
    <t>four cameras added onto security system</t>
  </si>
  <si>
    <t>yes, if motorized blinds selected in bedroom package</t>
  </si>
  <si>
    <t>8 speakers plus av unit</t>
  </si>
  <si>
    <t>basic included</t>
  </si>
  <si>
    <t>connected lights, white only but dimmable, only main and kitchen areas (philips current choice)</t>
  </si>
  <si>
    <t>Break-in and motion, monitored, and will alert phones (ADT is current choice)</t>
  </si>
  <si>
    <t>Break-in and motion, monitored and will alert phones (ADT is current choice)</t>
  </si>
  <si>
    <t>bedroom package</t>
  </si>
  <si>
    <t>using this area for home technology packages calculations</t>
  </si>
  <si>
    <t>bedroom</t>
  </si>
  <si>
    <t>package</t>
  </si>
  <si>
    <t>lights</t>
  </si>
  <si>
    <t>Total Lights</t>
  </si>
  <si>
    <t>bath pacakge</t>
  </si>
  <si>
    <t>number of lights lookup based on package</t>
  </si>
  <si>
    <t>bathroom</t>
  </si>
  <si>
    <t>size</t>
  </si>
  <si>
    <t>Laundry Room Light Quanity</t>
  </si>
  <si>
    <t>4 recessed lights, rope light on tray ceiling, plus center/fan light, closet light</t>
  </si>
  <si>
    <t>10 recessed lights, rope light on tray ceiling, high end center light/fan, closet light</t>
  </si>
  <si>
    <t>connected lights, color and dimmable for most, white for others, all lights (philips current choice)</t>
  </si>
  <si>
    <t>closet lights</t>
  </si>
  <si>
    <t>Additional Laundry Room Light Quanity</t>
  </si>
  <si>
    <t>Dining Room Light Quantity</t>
  </si>
  <si>
    <t>Office Light Quantity</t>
  </si>
  <si>
    <t>Additional Family/Living Light Quantity</t>
  </si>
  <si>
    <t>Sun Room Light Quantity</t>
  </si>
  <si>
    <t>1-2 high end signature light fixtures, 4-8 recessed lights, upgraded accent led/rope lighting</t>
  </si>
  <si>
    <t>Breakfast Room Light Quantity</t>
  </si>
  <si>
    <t>Mud Room Light Quantity</t>
  </si>
  <si>
    <t>Wine Cellar Light Quantity</t>
  </si>
  <si>
    <t>Theater Light Quantity</t>
  </si>
  <si>
    <t>Garage Light Quantity</t>
  </si>
  <si>
    <t>1 basic light</t>
  </si>
  <si>
    <t>Two basic lights</t>
  </si>
  <si>
    <t>Two lights plus one for every space above 2</t>
  </si>
  <si>
    <t>Four lights plus two for every space above 2</t>
  </si>
  <si>
    <t>Finished Basement Light Quantity</t>
  </si>
  <si>
    <t>one high end light fixture, upgraded lights/fans 1 per 1000 sqft, three times as many recessed as bronze</t>
  </si>
  <si>
    <t>one signature light fixture, lights/fans - one per 1000 sqft, three times as many recessed as bronze</t>
  </si>
  <si>
    <t>Unfinished Basement Light Quantity</t>
  </si>
  <si>
    <t>Loft Light Quantity</t>
  </si>
  <si>
    <t>Exterior Light Quantity</t>
  </si>
  <si>
    <t>4 flood lights with cameras tied to security</t>
  </si>
  <si>
    <t>six+ cameras added onto security system</t>
  </si>
  <si>
    <t>12+ speakers plus av unit with multi zone</t>
  </si>
  <si>
    <t>Generator Ready</t>
  </si>
  <si>
    <t>Auto Transfer Panel, wiring, and piping</t>
  </si>
  <si>
    <t>cost per sqft above 2500</t>
  </si>
  <si>
    <t>cost above 2500 sqft</t>
  </si>
  <si>
    <t>Lighting each floor/room, fridges, water heater, sump pump, garage door openers</t>
  </si>
  <si>
    <t>If house is electric heat, then generator may only power one HVAC system for heat</t>
  </si>
  <si>
    <t>8-12K, Generator installed for essentials + one HVAC cooling zone</t>
  </si>
  <si>
    <t>20K Generator installed to power most of house</t>
  </si>
  <si>
    <t>number of floors</t>
  </si>
  <si>
    <t>Shaft Only</t>
  </si>
  <si>
    <t>Wheel Chair size and payload</t>
  </si>
  <si>
    <t>4 person size and upgraded design</t>
  </si>
  <si>
    <t>Pnuematic or basic hydraulic</t>
  </si>
  <si>
    <t>Slab Prep, Framing, Electrical, Phone, Lighting, Doors (doors included in door package)</t>
  </si>
  <si>
    <t>Other</t>
  </si>
  <si>
    <t>Default Size w/ bronze</t>
  </si>
  <si>
    <t>25-45 hours good designer</t>
  </si>
  <si>
    <t>Allow for color selection for walls, floors, main furniture, blinds, and kitchen and master bath lighting selection.  Initial design meeting, meet with architects twice, meet at suppliers twice, home 3 times</t>
  </si>
  <si>
    <t>Allow for bronze plus lighting/fan selection throughout the house, furniture selection for entire house</t>
  </si>
  <si>
    <t>Silver, but with a very in demand designer</t>
  </si>
  <si>
    <t>Full white glove treatment from a very in demand designer.  Meant for the most discerning customer who wants designs mostly selected for them and/or they want to be able to make numerous refrinements and consider numerous options</t>
  </si>
  <si>
    <t>60-100 hours very good designer</t>
  </si>
  <si>
    <t>cost to add third floor</t>
  </si>
  <si>
    <t>per hour designer cost</t>
  </si>
  <si>
    <t>hours</t>
  </si>
  <si>
    <t>40-60 hours good designer</t>
  </si>
  <si>
    <t>40-60 hours very good designer</t>
  </si>
  <si>
    <t>Plug-In Vehicle</t>
  </si>
  <si>
    <t>One Vehicle Plug-in Ready</t>
  </si>
  <si>
    <t>One Vehicle Wired</t>
  </si>
  <si>
    <t>Includes conduit and connection panel in garage</t>
  </si>
  <si>
    <t>Two Vehicles Wired</t>
  </si>
  <si>
    <t>Includes purchase of charging device up to $700 and hook-up</t>
  </si>
  <si>
    <t>Includes purchase of two devices up to $700 a piece and hook-up</t>
  </si>
  <si>
    <t>Vehicles wired equal to size of garage</t>
  </si>
  <si>
    <t>Includes purchase of devices up to $700 a piece and hook-up</t>
  </si>
  <si>
    <t>garage spots</t>
  </si>
  <si>
    <t>Materials Short</t>
  </si>
  <si>
    <t>Labor Short</t>
  </si>
  <si>
    <t>Materals Long</t>
  </si>
  <si>
    <t>Materials Long</t>
  </si>
  <si>
    <t>Labor Long</t>
  </si>
  <si>
    <t>Up to 30' linear feet of concrete, 3' wide</t>
  </si>
  <si>
    <t>up to 30' linear feet, 4' wide - Level 3 stone</t>
  </si>
  <si>
    <t>Up to 50' linear feet of concrete, 3' wide</t>
  </si>
  <si>
    <t>up to 50' linear feet, 3' wide - Level 2 pavers or stone</t>
  </si>
  <si>
    <t>up to 50' linear feet, 4' wide - Level 4 stone</t>
  </si>
  <si>
    <t>Asphalt - sqft based on number of garage spots</t>
  </si>
  <si>
    <t>Concrete</t>
  </si>
  <si>
    <t>Level 3 Pavers</t>
  </si>
  <si>
    <t>Level 4 Pavers</t>
  </si>
  <si>
    <t>Driveway Costs</t>
  </si>
  <si>
    <t>2 six foot common trees</t>
  </si>
  <si>
    <t>Grass</t>
  </si>
  <si>
    <t>Trees</t>
  </si>
  <si>
    <t>Shrubs/Flowes</t>
  </si>
  <si>
    <t>Mulch</t>
  </si>
  <si>
    <t>100 sqft area of common mulch</t>
  </si>
  <si>
    <t>1/4 acre of grass seed</t>
  </si>
  <si>
    <t>1/4 acre of sod</t>
  </si>
  <si>
    <t>4 six foot common trees</t>
  </si>
  <si>
    <t>10 one gallon common shrubs/flowers and 4 three gallon</t>
  </si>
  <si>
    <t>20 one gallon common shrubs/flowers and 6 three gallon</t>
  </si>
  <si>
    <t>200 sqft area of common mulch</t>
  </si>
  <si>
    <t>1/2 acre of sod</t>
  </si>
  <si>
    <t>20 one gallon premium shrubs/flowers and 6 three gallon</t>
  </si>
  <si>
    <t>200 sqft area of premium mulch</t>
  </si>
  <si>
    <t>6 six foot premium trees</t>
  </si>
  <si>
    <t>300 sqft area of premium mulch</t>
  </si>
  <si>
    <t>12 ten foot premium trees</t>
  </si>
  <si>
    <t>40 three gallon premium shrubs/flowers and 6 5 gallon gallon</t>
  </si>
  <si>
    <t>Wood Species</t>
  </si>
  <si>
    <t>Connection Type</t>
  </si>
  <si>
    <t>Pine or equivalent</t>
  </si>
  <si>
    <t>Exposed Simpson</t>
  </si>
  <si>
    <t>Cost Per Sqft</t>
  </si>
  <si>
    <t>Framing Design Material and Labor</t>
  </si>
  <si>
    <t>Sand and Finish Materials and Labor</t>
  </si>
  <si>
    <t>Sand and one coat of poly</t>
  </si>
  <si>
    <t>Douglas Fir or equivalent</t>
  </si>
  <si>
    <t>Exposed Simpson or T-Rex Connectors</t>
  </si>
  <si>
    <t>Sand and two coats of poly</t>
  </si>
  <si>
    <t>Simple with T-Rex Connectors</t>
  </si>
  <si>
    <t>Oak, Cedar or equivalent</t>
  </si>
  <si>
    <t>Moderate Complexity with T-Rex Connectors</t>
  </si>
  <si>
    <t>Sand, stain as desired, and two coats of poly</t>
  </si>
  <si>
    <t>Exposed Simpson or T-Rex Connectors for moderate framing complexity</t>
  </si>
  <si>
    <t>Mortise and Tendon</t>
  </si>
  <si>
    <t>Footers Only Cost</t>
  </si>
  <si>
    <t>Price of 2 story foundation as selected basement</t>
  </si>
  <si>
    <t>Price of 1 story foundation as selected basement</t>
  </si>
  <si>
    <t>Vaulted Ceiling</t>
  </si>
  <si>
    <t>Cost Per Sqft of Ceiling</t>
  </si>
  <si>
    <t>Sqft of Ceiling</t>
  </si>
  <si>
    <t>Cost of Vaulted Ceiling</t>
  </si>
  <si>
    <t>Pre-package cost of Loft No Vaulted Ceiling</t>
  </si>
  <si>
    <t>Pre-package cost of Loft with Vaulted Ceiling</t>
  </si>
  <si>
    <t>need to adjust insulation costs based on vaulted ceiling selection, need to adjust SIP framing selection cost based on vaulted ceiling because I will assume that a SIP roof will be chosen for a vaulted ceiling</t>
  </si>
  <si>
    <t>Cost per Sqft</t>
  </si>
  <si>
    <t>ICF Cost</t>
  </si>
  <si>
    <t>SIP Cost</t>
  </si>
  <si>
    <t>Cubic feet of wall</t>
  </si>
  <si>
    <t>Linear feet</t>
  </si>
  <si>
    <t>Height</t>
  </si>
  <si>
    <t>Thickness</t>
  </si>
  <si>
    <t>Cost of concrete</t>
  </si>
  <si>
    <t>Cost of concrete in wall</t>
  </si>
  <si>
    <t>Cubic yards</t>
  </si>
  <si>
    <t>Cost of Blocks</t>
  </si>
  <si>
    <t>Cost of Blocks in Wall</t>
  </si>
  <si>
    <t>Insulated Concrete</t>
  </si>
  <si>
    <t>need to update energy efficiency now that concrete framing type is ICF instead of CMU</t>
  </si>
  <si>
    <t>need to update ICF costs after working with an ICF supplier</t>
  </si>
  <si>
    <t>Cost Allowance</t>
  </si>
  <si>
    <t>Finished sqft</t>
  </si>
  <si>
    <t>Bronze Cost</t>
  </si>
  <si>
    <t>Only 5% mark-up on solar panels</t>
  </si>
  <si>
    <t>need to add fireplace to bedroom option</t>
  </si>
  <si>
    <t>add built in grill option for patio</t>
  </si>
  <si>
    <t>Fiberglass no glass, painted</t>
  </si>
  <si>
    <t>no longer using this package</t>
  </si>
  <si>
    <t>Hollow Core Common white all</t>
  </si>
  <si>
    <t>allow for a couple barn doors under gold interior doors</t>
  </si>
  <si>
    <t>add ceiling to walls and ceiling section of bathrooms</t>
  </si>
  <si>
    <t>add custom paint option to a couple doors under silver interior doors, or all custom paint for gold doors</t>
  </si>
  <si>
    <t>increase pricing and details for gold and platinum exterior doors</t>
  </si>
  <si>
    <t>Solid Core unique type or species and/or custom colors, two double doors</t>
  </si>
  <si>
    <t>Solid Core rare wood species or numerous glass or custom, four double doors</t>
  </si>
  <si>
    <t>Carpet - up to $4 sqft intalled</t>
  </si>
  <si>
    <t>add additional family/living, dining, breakfast room to flooring</t>
  </si>
  <si>
    <t>engineereed wood or level 2 hardwood</t>
  </si>
  <si>
    <t>feature wall of stone/wood, (14-18 long wall in small to large house) or combined with built-ins, or wall paper all walls wainscoating</t>
  </si>
  <si>
    <t>Chandelier - $400 allowance</t>
  </si>
  <si>
    <t>ceiling paint with crown or tray ceiling</t>
  </si>
  <si>
    <t>Chandelier - $700 allowance plus 4-8 recessed lights</t>
  </si>
  <si>
    <t>Different color painted walls wth standard wainscoating  chair rail molding, standard built-in shelving</t>
  </si>
  <si>
    <t>Flooring for Main living areas, kitchen, dining, powder room, and breakfast room (if selected) &amp; non-rooms</t>
  </si>
  <si>
    <t>Main Area Size</t>
  </si>
  <si>
    <t>done</t>
  </si>
  <si>
    <t>status</t>
  </si>
  <si>
    <t>add sprinklers to landscaping package options</t>
  </si>
  <si>
    <t>ICF Walls</t>
  </si>
  <si>
    <t>ICF Basement</t>
  </si>
  <si>
    <t>ICF with Convetional Wood Ceiling</t>
  </si>
  <si>
    <t>Min foam and concrete thickness</t>
  </si>
  <si>
    <t>Increased foam thickness</t>
  </si>
  <si>
    <t>Increased foam and concrete thickness</t>
  </si>
  <si>
    <t>thick foam and concrete thickness</t>
  </si>
  <si>
    <t>Insulated Concrete Forms - ICF</t>
  </si>
  <si>
    <t>done enough</t>
  </si>
  <si>
    <t>not sure</t>
  </si>
  <si>
    <t>add generator to attributes selections, and then shift pacakges down one, and then add a 38k unit to platinum</t>
  </si>
  <si>
    <t>Generator will power all of house</t>
  </si>
  <si>
    <t>38k Generator installed to power all</t>
  </si>
  <si>
    <t>Above foundation exterior wall sqft</t>
  </si>
  <si>
    <t>Foundation exterior wall Sqft</t>
  </si>
  <si>
    <t>Total exterior wall sqft</t>
  </si>
  <si>
    <t>Blow-in insulation to code, spray for loft or vaulted ceiling</t>
  </si>
  <si>
    <t>Blow-in insulation to code, sip roof for loft or vaulted ceiling</t>
  </si>
  <si>
    <t>Increaesd Blow-in insulation, attic air seal, increased spray for loft or vaulted ceiling</t>
  </si>
  <si>
    <t>Increaesd Blow-in insulation, attic air seal, thicker panels for loft or vaulted celing</t>
  </si>
  <si>
    <t>Deep Blow-in insulation, attic air seal, increased spray for loft or vaulted ceiling</t>
  </si>
  <si>
    <t>Very Deep Blow-in insulation, attic air seal, extra spray for loft or vaulted ceiling</t>
  </si>
  <si>
    <t>Very Deep Blow-in insulation, attic air seal, thicker SIP for loft or vaulted ceiling</t>
  </si>
  <si>
    <t>Deep Blow-in insulation, attic air seal, thicker sip for loft or vaulted ceilings</t>
  </si>
  <si>
    <t>add blinds to office packages</t>
  </si>
  <si>
    <t>add built-ins to sun room gold and platinum</t>
  </si>
  <si>
    <t>Different color painted walls, basic built-ins and basic chair rail molding</t>
  </si>
  <si>
    <t>make warranty pricing affected by the packages selected</t>
  </si>
  <si>
    <t>Pine Wood Ceiling</t>
  </si>
  <si>
    <t>Upgraded wood ceiling</t>
  </si>
  <si>
    <t>Removed bathroom</t>
  </si>
  <si>
    <t>remvoed bathroom</t>
  </si>
  <si>
    <t>upgraded carpet or level 1 wood</t>
  </si>
  <si>
    <t>standard built-ins</t>
  </si>
  <si>
    <t>Level 3 Wood</t>
  </si>
  <si>
    <t>Upgraded built-ins</t>
  </si>
  <si>
    <t>update loft pricing for angles change</t>
  </si>
  <si>
    <t>One feature wall of stone/wood, up to 15-20' wide (small to large loft) and upgraded built-ins</t>
  </si>
  <si>
    <t>assumes $125 with upgraded fixture, plus recesse lights</t>
  </si>
  <si>
    <t>(trim included in exterior trim and roof included in attributes and roof)</t>
  </si>
  <si>
    <t>Up to four levels</t>
  </si>
  <si>
    <t>Painted with basic trim</t>
  </si>
  <si>
    <t>painted with basic trim</t>
  </si>
  <si>
    <t>upgraded crown molding</t>
  </si>
  <si>
    <t>plus fiberglass insulation on two interior walls, ceilings/walls whisper clips, channels, 2 sheets of drywall, green glue, automatic door bottom and door gasket, solid core door</t>
  </si>
  <si>
    <t>sound paneling or 4-6 decorative wall cavities to add interest to the walls, some built-ins and trim</t>
  </si>
  <si>
    <t>Recessed lighting + acccent or wall lighting</t>
  </si>
  <si>
    <t>upgraded 4-6 decorate wall cavities plus some sound paneling, some built-ins and trim</t>
  </si>
  <si>
    <t>Up to four levels, seating included for 6-12 depending on size of house</t>
  </si>
  <si>
    <t>recessed lights</t>
  </si>
  <si>
    <t>up to 30' linear feet, 3' wide - Level 3 pavers or level 2 flagstone</t>
  </si>
  <si>
    <t>Basic small and 2 person payload</t>
  </si>
  <si>
    <t>Pnuematic or hydraulic, upgraded finishes</t>
  </si>
  <si>
    <t>high end finishes</t>
  </si>
  <si>
    <t>add some basic trim and built-in shelving to the silver main living area package (update website descriptions as well)</t>
  </si>
  <si>
    <t>drywall, paint, stairs with drywall wall and railing as necessary, drywall ceiling with paint</t>
  </si>
  <si>
    <t>Triple Pane</t>
  </si>
  <si>
    <t>number of windows</t>
  </si>
  <si>
    <t>Cost of Windows before energy upgrade</t>
  </si>
  <si>
    <t>Cost of Exterior Doors</t>
  </si>
  <si>
    <t>Standard</t>
  </si>
  <si>
    <t>Low-E</t>
  </si>
  <si>
    <t>Fixed Angles and curves "none" issue</t>
  </si>
  <si>
    <t>1+'Attributes Inputs and Outputs'!B8+IF('Attributes Inputs and Outputs'!H8='Defaults and Ranges'!K24, 1, 0)+IF('Attributes Inputs and Outputs'!H12='Defaults and Ranges'!K25, 1, 0)+IF('Attributes Inputs and Outputs'!H13='Defaults and Ranges'!K26, 1, 0)+IF('Attributes Inputs and Outputs'!H14='Defaults and Ranges'!K27, 1, 0)+IF('Attributes Inputs and Outputs'!H15='Defaults and Ranges'!K28, 1, 0)+IF('Attributes Inputs and Outputs'!H16='Defaults and Ranges'!K29, 1, 0)+IF('Attributes Inputs and Outputs'!H17='Defaults and Ranges'!K30, 1, 0)+IF('Attributes Inputs and Outputs'!H18='Defaults and Ranges'!K31, 1, 0)+IF('Attributes Inputs and Outputs'!H20='Defaults and Ranges'!K33, 1, 0)+IF(G1172&gt;3000, (G1172-3000)/1000, 0)</t>
  </si>
  <si>
    <t>Fixed bad cells</t>
  </si>
  <si>
    <t>Total Finished Sqft</t>
  </si>
  <si>
    <t>Increased Roof Pricing</t>
  </si>
  <si>
    <t>Flooring - Main Living Areas</t>
  </si>
  <si>
    <t>corrected finished basement typo and changed name of flooring package</t>
  </si>
  <si>
    <t>`</t>
  </si>
  <si>
    <t>Add missing sqft selection of 5100-5399, and added an additional sqft block</t>
  </si>
  <si>
    <t>Reduced sqft required for the number of bedrooms selected</t>
  </si>
  <si>
    <t>Add new input to other attributes that talks about how much of the 2nd floor footprint matches the first floor.</t>
  </si>
  <si>
    <t>increased Kitchen Appliance pricing for range hoods for gold and platinum</t>
  </si>
  <si>
    <t>increased kitchen appliance pricing to include thermador, increased front door pricing to account for pivot door in platinum</t>
  </si>
  <si>
    <t>Add stair width to stairs package</t>
  </si>
  <si>
    <t>Add brick ledge</t>
  </si>
  <si>
    <t>added brick ledge costs to gold and platinum exterior walls and trim package</t>
  </si>
  <si>
    <t>increased flooring costs of bedrooms, increased number of doors assumed for interior doors, increased railing costs for porch</t>
  </si>
  <si>
    <t>Concrete included in materials, railing 10-16 hours for 2 carpenters</t>
  </si>
  <si>
    <t>Concrete included in materials, railing 8-12 hours for 2 carpenters</t>
  </si>
  <si>
    <t>Hourly Rate for two carpenters</t>
  </si>
  <si>
    <t>Masonry per sqft for flagstone and regular stone</t>
  </si>
  <si>
    <t>made carpentry and mason costs an input (only updated for porch)</t>
  </si>
  <si>
    <t>N/A, provide $9k allowance</t>
  </si>
  <si>
    <t>Smart Lock with $300 allowance</t>
  </si>
  <si>
    <t>smark lock with $200 allowance</t>
  </si>
  <si>
    <t>Keybad bolt lock</t>
  </si>
  <si>
    <t>Common Lock and Bolt</t>
  </si>
  <si>
    <t>Thermatru Fiberlgass</t>
  </si>
  <si>
    <t>Anderson 400 series Patio or Reeb Fir Wood with full glass</t>
  </si>
  <si>
    <t>Anderson 400 series Patio or Reeb Mahogany Wood with full glass</t>
  </si>
  <si>
    <t>Need to consider adjusting angles/curves and roof type based on framing type</t>
  </si>
  <si>
    <t>Sqft Efficiency</t>
  </si>
  <si>
    <t>83 - 89%</t>
  </si>
  <si>
    <t>75 - 82%</t>
  </si>
  <si>
    <t>65 - 74%</t>
  </si>
  <si>
    <t>50 - 64%</t>
  </si>
  <si>
    <t>40 - 49%</t>
  </si>
  <si>
    <t>30 - 39%</t>
  </si>
  <si>
    <t>20 - 29%</t>
  </si>
  <si>
    <t>10 - 19%</t>
  </si>
  <si>
    <t>97 - 100%</t>
  </si>
  <si>
    <t>90 - 96%</t>
  </si>
  <si>
    <t>Sqft Efficiency multiplier</t>
  </si>
  <si>
    <t>Price of 2 story foundation with basement</t>
  </si>
  <si>
    <t>Price of 1 story foundation with basement</t>
  </si>
  <si>
    <t>updated exterior door package, updated single story costs</t>
  </si>
  <si>
    <t>Single Story Costs</t>
  </si>
  <si>
    <t>% of 2nd floor footprint that matches 1st</t>
  </si>
  <si>
    <t>added sqft efficiency attribute - not finished</t>
  </si>
  <si>
    <t>Basic Built-ins</t>
  </si>
  <si>
    <t>increased default price, increased cost of sqft attribute,increased many other costs</t>
  </si>
  <si>
    <t>Closet</t>
  </si>
  <si>
    <t>Metal with hanging for regular bedrooms, two wood shelfs and hanging pole for master</t>
  </si>
  <si>
    <t>Wood shelfs including clothes/shoes shelfs and hanging pole area for regular bedrooms, add drawers and larger closet for master</t>
  </si>
  <si>
    <t>cabinet shelving for regular closet, cabinet shelving plus island with countertop for master</t>
  </si>
  <si>
    <t>Wood shelf with pole in regular bedrooms for regular, wood shelfs including clothes/shoes shelfs and hanging pole area for master</t>
  </si>
  <si>
    <t>1st Two floors</t>
  </si>
  <si>
    <t>Mark-up on costs above default</t>
  </si>
  <si>
    <t>Mark-up on default cost</t>
  </si>
  <si>
    <t>finished sqft efficiency attribute, fixed sqft selection, increased default mark-up, lowered mark-up over default</t>
  </si>
  <si>
    <t>Thermador, 48" Fridge, 48" Range (or Stove Top and double Wall Oven), Range Hood, Microwave, Dishwasher, and Below Counter Beverage/Wine Fridge, very quite disposal</t>
  </si>
  <si>
    <t>Subzero and Wolf or equivalent, Includes 48" Fridge, 48" Range (or Stove Top and Double Wall Ovens), Range Hood, Microwave, 2 Dishwashers, Below Counter Beverage/Wine fridge and Two Below Counter Fridge Drawers (or Replace Below Counter Beverage Fridge and Fridge Drawers with Tall Beverage/Wine fridge)</t>
  </si>
  <si>
    <t>changed fridge to 48" for gold/platinum, added 2nd dishwasher in platinum, increased appliance pricing</t>
  </si>
  <si>
    <t>was missing shower fixtures from bathroom costs, now added</t>
  </si>
  <si>
    <t>Shower/Tub and enclosures, plumbing fixture</t>
  </si>
  <si>
    <t>Sqft Efficiency bottom</t>
  </si>
  <si>
    <t>Sqft Efficiency top</t>
  </si>
  <si>
    <t>Finshed basement based on sqft efficiency (not including bed, bath, and utility)</t>
  </si>
  <si>
    <t>Finished Basement Sqft (not including sqft efficiency)</t>
  </si>
  <si>
    <t>adjusted finished basement package to account for sqft efficiency, also basement sqft for attributes based on sqft efficiency</t>
  </si>
  <si>
    <t>Engineering increase cost per large room</t>
  </si>
  <si>
    <t>Adjusted home plan pricing, removed min number bedrooms, other minor changes</t>
  </si>
  <si>
    <t>Version Notes</t>
  </si>
  <si>
    <t>Date</t>
  </si>
  <si>
    <t>Raised masonry costs on exterior materials</t>
  </si>
  <si>
    <t>1/4 of front thin stone, 2 feet of front foundation thin stone (front foundation thin stone if bsmsnt garage entry), Level 2 Stone</t>
  </si>
  <si>
    <t>1/4 of front thin stone, 2 feet of front foundation thin stone (front foundation thin stone if bsmsnt garage entry), no dry stack</t>
  </si>
  <si>
    <t>Front of house all thin stone, Level 3 stone</t>
  </si>
  <si>
    <t>thin stone entire house (other materials can be mixed in), level 4 stone</t>
  </si>
  <si>
    <t>thin stone entire house (other materials can be mixed in), drystack</t>
  </si>
  <si>
    <t>Paint Level</t>
  </si>
  <si>
    <t>Paint Type</t>
  </si>
  <si>
    <t>Painters Edge</t>
  </si>
  <si>
    <t>Extreme Cover or Promar 200</t>
  </si>
  <si>
    <t>Duration</t>
  </si>
  <si>
    <t>Emerald</t>
  </si>
  <si>
    <t>https://www.sherwin-williams.com/CompareProductsDisplayView?storeId=10151&amp;catalogId=11052&amp;langId=&amp;compareReturnName=Paint%20&amp;%20Coatings&amp;searchTerm=&amp;categoryId=21977&amp;catentryId=13243;13326;317016;13169;13229&amp;returnUrl=https:%2F%2Fwww.sherwin-williams.com%2Fpainting-contractors%2Fpaint-coatings-interior%23facet:-70000000000000057057010897116%26productBeginIndex:0%26orderBy:%26pageView:grid%26minPrice:%26maxPrice:%26pageSize:45%26%3FfromPage%3Dcompare</t>
  </si>
  <si>
    <t>cost per gallon</t>
  </si>
  <si>
    <t>basement</t>
  </si>
  <si>
    <t>1st floor</t>
  </si>
  <si>
    <t>loft</t>
  </si>
  <si>
    <t>ceiling height</t>
  </si>
  <si>
    <t>Gallons</t>
  </si>
  <si>
    <t>Sqft of Home per Gallon of Wall Paint (assumes 9' ceiling heights)</t>
  </si>
  <si>
    <t>Link to product comparison</t>
  </si>
  <si>
    <t>https://www.sherwin-williams.com/painting-contractors/products/painters-edge-interior-latex</t>
  </si>
  <si>
    <t>https://www.sherwin-williams.com/painting-contractors/products/promar-200-zero-voc-interior-latex/650946635?replacement=true</t>
  </si>
  <si>
    <t>https://www.sherwin-williams.com/painting-contractors/products/extreme-cover-stain-blocking</t>
  </si>
  <si>
    <t>https://www.sherwin-williams.com/painting-contractors/products/duration-home-interior-acrylic-latex</t>
  </si>
  <si>
    <t>https://www.sherwin-williams.com/painting-contractors/products/emerald-interior-acrylic-latex-paint/651016925?replacement=true</t>
  </si>
  <si>
    <t>Add Paint Level Package</t>
  </si>
  <si>
    <t>increased stair railing costs</t>
  </si>
  <si>
    <t>need to separate full baths from half baths</t>
  </si>
  <si>
    <t>1st Floor Sqft at high end of efficiency range</t>
  </si>
  <si>
    <t>2nd Floor Sqft at high end of efficiency range</t>
  </si>
  <si>
    <t>Basement sqft including garage if basement entry</t>
  </si>
  <si>
    <t>1st Floor Sqft not accounting for efficiency</t>
  </si>
  <si>
    <t>2nd Floor Sqft not accounting for efficiency</t>
  </si>
  <si>
    <t>Finished Sqft not accounting for effiency</t>
  </si>
  <si>
    <t>Finished basment sqft not including bed, bath, and utility not accounting for effiency</t>
  </si>
  <si>
    <t>Basement Sqft accounting for effiency</t>
  </si>
  <si>
    <t>Finished Basement Sqft accounting for efficiency</t>
  </si>
  <si>
    <t>Sqft including basement not accounting for efficency</t>
  </si>
  <si>
    <t>Basement Sqft Not Accounting For efficiency</t>
  </si>
  <si>
    <t>Sqft including basement accounting for efficiency</t>
  </si>
  <si>
    <t>Finished Sqft (not accounting for sqft efficiency)</t>
  </si>
  <si>
    <t>fixed sqft output, and fixed sqft calcs based on sqft effiency, to include in basement package calcs, also changed garage space to 250 per spot in sqft calcs</t>
  </si>
  <si>
    <t>Finished Sqft with Loft (not accounting for sqft efficiency)</t>
  </si>
  <si>
    <t>bronze countertop sqft</t>
  </si>
  <si>
    <t>increased amount of countertop sqft in kitchen packages, also adjusted cost per sqft, increased size of master bathroom, increased floor heat costs, increased gold/platinum tile floor costs, modified roof package sqft to account for sqft efficiency</t>
  </si>
  <si>
    <t>Big Box Store Kitchen Designer, Kraftmaid basic rectangular base/wall cabinets, soft close drawers/doors. Pantry - 36" wide basic shelving with folding door access, $5 average pull costs</t>
  </si>
  <si>
    <t>Speciality Store Designer/Supplier, Dura Supreme or Wellborn semi-custom standard sizes/shapes, Pantry - 48" wide upgraded door, $11 average pull cost</t>
  </si>
  <si>
    <t>Specialty Store Designer/Supplier, Fieldstone semi-custom with multiple advanced size/style drawers/cabinets, Pantry - 6x8' walk-in pantry with built-in shelving, $30 average pull cost</t>
  </si>
  <si>
    <t>Speciality Store Designer/Supplier, custom Fieldstone cherry cabinets with advanced size/style drawers/cabinets, Pantry - cabinet plus 6x8' walk-in with custom built-ins, $80 average pull cost</t>
  </si>
  <si>
    <t>Stained risers with stained oak plus (better than oak) treads, 100% open wall at 42"</t>
  </si>
  <si>
    <t>fixed sqft select to allow for any sizes for any number of bedrooms, increased gold stair pricing, increase silver carpet pricing from 2.5 to $2.8</t>
  </si>
  <si>
    <t>Level 2 or Silver Carpet</t>
  </si>
  <si>
    <t>Silver Carpet</t>
  </si>
  <si>
    <t>increased labor costs in exterior materials package</t>
  </si>
  <si>
    <t>Front of house all thin stone, Level 3 stone, no drystack</t>
  </si>
  <si>
    <t>Item</t>
  </si>
  <si>
    <t>Who</t>
  </si>
  <si>
    <t>rubber flooring 4mm</t>
  </si>
  <si>
    <t>$4.88 sqft</t>
  </si>
  <si>
    <t>Cornerstone flooring</t>
  </si>
  <si>
    <t>rubber flooring pieces</t>
  </si>
  <si>
    <t>Blinds</t>
  </si>
  <si>
    <t>Ceiling and Trim</t>
  </si>
  <si>
    <t>Upgraded tile, no heat ($7 sqft materials, $10 sqft labor)</t>
  </si>
  <si>
    <t>High end tile, floor heat ($20 tile materials, $12 tile labor, $17 sqft installed for floor heat)</t>
  </si>
  <si>
    <t>very high end tile ($30/12 materials/labor), floor heat ($17 sqft installed), mid grade towel heat ($1500 installed)</t>
  </si>
  <si>
    <t>Level 2 tile - $4 sqft tile, $1 other materials, $10 sqft labor</t>
  </si>
  <si>
    <t>Level 3 tile - $8 sqft tile, $1 other materials, $12 sqft labor</t>
  </si>
  <si>
    <t>Level 4 tile - $12 sqft tile, $1 other materials, $12 sqft labor</t>
  </si>
  <si>
    <t>level 2 solid wood (oak)</t>
  </si>
  <si>
    <t>level 2 tile or level 3 wood</t>
  </si>
  <si>
    <t>Level 5 solid wood or level 4 tile</t>
  </si>
  <si>
    <t>increased tile backsplash costs in silver package for kitchen, increased heat and cooling costs, added pricing tab, increased gold and platinum tub costs, added fireplaces to gold and platinum bedrooms, increased tile labor costs, increased default cost to $305k from $300k, increased sqft cost from $50 to $51, when algorithm updated, update packages online to remove tile from bronze/silver, and lower tile levels as approrpirate for gold/platinum</t>
  </si>
  <si>
    <t>Level 2 tile or level 3 solid wood</t>
  </si>
  <si>
    <t>Level 3 tile or Level 4 wood</t>
  </si>
  <si>
    <t>Finished in place level 3 hardwood, $15 wood installed, $4 tile (+1 for materials and 10 for labor)</t>
  </si>
  <si>
    <t>$2 tile, $1 materials, $10 labor</t>
  </si>
  <si>
    <t>High end carpet, oak wood</t>
  </si>
  <si>
    <t>High end wood or level 3 ($6 a sqft tile)</t>
  </si>
  <si>
    <t>add window treatments to additoinal family/living room package</t>
  </si>
  <si>
    <t>add porch ceiling to porch</t>
  </si>
  <si>
    <t>need to add number of steel beams and a way to handle wind bracing add ons, to include steel framing for massive window openings</t>
  </si>
  <si>
    <t>add ceiling description to bedrooms on site</t>
  </si>
  <si>
    <t>Screen for deck</t>
  </si>
  <si>
    <t>3000-4000</t>
  </si>
  <si>
    <t>1.5-2 for materials, 1.5-2 for labor</t>
  </si>
  <si>
    <t>Added Windows</t>
  </si>
  <si>
    <t>Added larger windows and some basic built-ins</t>
  </si>
  <si>
    <t>Added larger windows and a feature wall.  Feature wall can include built-ins</t>
  </si>
  <si>
    <t>Very large windows and high end feature wall with built-ins</t>
  </si>
  <si>
    <t>2x6 framing, increased batt insluation, spray foam for rim joists, overhangs, and garage ceilng</t>
  </si>
  <si>
    <t>Heat lock and smart sun</t>
  </si>
  <si>
    <t>Low-E standard</t>
  </si>
  <si>
    <t>Trex decking</t>
  </si>
  <si>
    <t>reference Trex cost file</t>
  </si>
  <si>
    <t>Barrons</t>
  </si>
  <si>
    <t>Batt Insulation</t>
  </si>
  <si>
    <t>R-13 - $0.65, $R-15 - .81, R-19 - .71</t>
  </si>
  <si>
    <t>Bert Devere Insulation</t>
  </si>
  <si>
    <t>R-19 is cheaper than R-15 because R-15 is "high density"</t>
  </si>
  <si>
    <t>high end vanities, sinks, mirrors, countertops, and faucets</t>
  </si>
  <si>
    <t>upgraded vanities, sinks, mirrors, countertops and faucets</t>
  </si>
  <si>
    <t>very high end vanities, sinks, mirrors, countertops and faucets</t>
  </si>
  <si>
    <t>GE Stainless Steel or Samsung level 1, Includes 36" Fridge, 30" Range, range hood Microwave, and Dishwasher, regular disposal</t>
  </si>
  <si>
    <t xml:space="preserve">changed silver flooring pre-finished to level 2, changed bathroom silver tile to level 2, corrected sunroom to include built-ins for silver-platinum, for energy efficiency package silver - added spray foam to rim joists, overhangs, and garage ceiling. removed lowe4 becuase the "4" is not energy efficiency related, it just helps make the window stay cleaner, updated bathroom pricing, increased window pricing, increased exterior walls silver package pricing </t>
  </si>
  <si>
    <t>Hardie on 3/4 of front and 100% of sides and rear, panels priced for up to 20% of the home</t>
  </si>
  <si>
    <t>$4k fireplace plus stone surround</t>
  </si>
  <si>
    <t>$6k fireplace plus stone surround</t>
  </si>
  <si>
    <t>sqft as selected</t>
  </si>
  <si>
    <t>Master</t>
  </si>
  <si>
    <t>Regular</t>
  </si>
  <si>
    <t>Starting Sqft</t>
  </si>
  <si>
    <t>current</t>
  </si>
  <si>
    <t>Stained risers with upgraded treads, 100% open wall at 48"</t>
  </si>
  <si>
    <t>Samsung WF45R6100AP washer and Samsun DVE45R6100P dryer or equivalent</t>
  </si>
  <si>
    <t>Whirpool WTW4850HW washer and WED4850HW Dryer, or equivalent</t>
  </si>
  <si>
    <t>Pre-finished level 2 engineered or level 2 hardwood - $5 materials, $4 labor</t>
  </si>
  <si>
    <t>Finished in place exotic hardwood, or exotic pre-finished $17.5 materials, $4 labor</t>
  </si>
  <si>
    <t>Level 4 wood</t>
  </si>
  <si>
    <t>Level 3 wood</t>
  </si>
  <si>
    <t>Recessed lights based on sqft of home, 2 pendant lights for $50 per light</t>
  </si>
  <si>
    <t>Recessed lights based on sqft of home, $150 per pendant light, undercabinet lighting</t>
  </si>
  <si>
    <t>Designer Recessed lights based on sqft of home, $300 per pendant light, undercabinet lighting</t>
  </si>
  <si>
    <t>Desginer Recessed lights based on sqft of home, $600 per pendant light, undercabinet lighting</t>
  </si>
  <si>
    <t>Standard Light Fan plust 4 recessed lights</t>
  </si>
  <si>
    <t>1 Fan/Light and 4 recessed lights</t>
  </si>
  <si>
    <t>Basic Shingle, IKO cambridge</t>
  </si>
  <si>
    <t>Certainteed Landmark</t>
  </si>
  <si>
    <t>Add something on site that indicates a package has been selected by the user (i.e. check check box or something like that)</t>
  </si>
  <si>
    <t>If we are adding parameter selections that are more advanced, maybe add an advanced section that the user can choose to view and change from default if desired</t>
  </si>
  <si>
    <t>Whirlpool WFW9620HBK washer and WED9620HBK dryer</t>
  </si>
  <si>
    <t>2 each Whirlpool WFW9620HBK washer and WED9620HBK dryer</t>
  </si>
  <si>
    <t>Paint, level 3 tile backsplash behind oven under hood and under all uppers ($8 a sqft tile, $13 total in materials, $1k tile labor)</t>
  </si>
  <si>
    <t>Level 4 tile backsplash under all wall cabinets and behind oven, custom trim/soffit to finish ceiling, coffered ceiling</t>
  </si>
  <si>
    <t>Toilet and bidet</t>
  </si>
  <si>
    <t>single basic toilet $100, no bidet (includes installation and plumbing, $450)</t>
  </si>
  <si>
    <t>upgraded toilet $250, no bidet (includes installation and plumbing, $450), private toilet or master (added door, light, and fan costs)</t>
  </si>
  <si>
    <t>very high end toilet with special features and bidet fucntionality, private toilet for master and regular</t>
  </si>
  <si>
    <t>increased sqft calculations for bathrooms and move bath sqft adjustments to back calcs instead of price calcs, increased gold and platinum stairs costs, updated laundry machines (additional laundry package as well) in bronze because the models are discontinued.  New models have same price, increased flooring costs for wood, updated kitchen lighting (need update website description on release), closet info was added in excel, the verbiage needs to be added to the website.  4 recessed lights added to silver Office and silver Sunroom, increased backsplash costs in gold kitchen, updated laundry machines, added backsplash under all uppers for silver kitchen, increased level of tile for gold kitchen backsplash, corrected bathroom calc</t>
  </si>
  <si>
    <t>corrected package totals in the package inputs and outputs tab, increased pricing of cooler drawers in platinum kitchen appliances, increased laundry cabinet pricing, increased default cost from 305 to 315, increased mark-up after default to 15% vs. 10%, and increased cost per sqft from 51 to 53</t>
  </si>
  <si>
    <t>Cost Per Sqft Increase for SIP</t>
  </si>
  <si>
    <t>2100 - 2299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</si>
</sst>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0.0"/>
    <numFmt numFmtId="167" formatCode="_(* #,##0.0_);_(* \(#,##0.0\);_(* &quot;-&quot;??_);_(@_)"/>
    <numFmt numFmtId="168" formatCode="0.00000"/>
    <numFmt numFmtId="169" formatCode="&quot;$&quot;#,##0"/>
    <numFmt numFmtId="170" formatCode="_(&quot;$&quot;* #,##0.0_);_(&quot;$&quot;* \(#,##0.0\);_(&quot;$&quot;* &quot;-&quot;??_);_(@_)"/>
    <numFmt numFmtId="171" formatCode="&quot;$&quot;#,##0.0_);[Red]\(&quot;$&quot;#,##0.0\)"/>
    <numFmt numFmtId="172" formatCode="_(* #,##0.000_);_(* \(#,##0.000\);_(* &quot;-&quot;??_);_(@_)"/>
    <numFmt numFmtId="173" formatCode="&quot;$&quot;#,##0.0"/>
    <numFmt numFmtId="174" formatCode="&quot;$&quot;#,##0.000_);[Red]\(&quot;$&quot;#,##0.000\)"/>
    <numFmt numFmtId="175" formatCode="_(&quot;$&quot;* #,##0.0_);_(&quot;$&quot;* \(#,##0.0\);_(&quot;$&quot;* &quot;-&quot;?_);_(@_)"/>
  </numFmts>
  <fonts count="17" x14ac:knownFonts="1">
    <font>
      <sz val="11"/>
      <color theme="1"/>
      <name val="Calibri"/>
      <family val="2"/>
      <scheme val="minor"/>
    </font>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3.2"/>
      <color rgb="FF000000"/>
      <name val="Calibri"/>
      <family val="2"/>
    </font>
    <font>
      <b/>
      <u/>
      <sz val="11"/>
      <color theme="1"/>
      <name val="Calibri"/>
      <family val="2"/>
      <scheme val="minor"/>
    </font>
    <font>
      <sz val="11"/>
      <name val="Calibri"/>
      <family val="2"/>
      <scheme val="minor"/>
    </font>
    <font>
      <u/>
      <sz val="11"/>
      <color theme="1"/>
      <name val="Calibri"/>
      <family val="2"/>
      <scheme val="minor"/>
    </font>
    <font>
      <sz val="10"/>
      <color theme="1"/>
      <name val="Calibri"/>
      <family val="2"/>
      <scheme val="minor"/>
    </font>
    <font>
      <sz val="10"/>
      <color rgb="FF000000"/>
      <name val="Calibri"/>
      <family val="2"/>
    </font>
    <font>
      <sz val="12"/>
      <color theme="1"/>
      <name val="Calibri"/>
      <family val="2"/>
      <scheme val="minor"/>
    </font>
    <font>
      <u/>
      <sz val="11"/>
      <color theme="10"/>
      <name val="Calibri"/>
      <family val="2"/>
      <scheme val="minor"/>
    </font>
    <font>
      <sz val="11"/>
      <color rgb="FF000000"/>
      <name val="Calibri"/>
      <family val="2"/>
    </font>
    <font>
      <b/>
      <sz val="10"/>
      <color rgb="FF000000"/>
      <name val="Calibri"/>
      <family val="2"/>
    </font>
    <font>
      <sz val="9"/>
      <color indexed="81"/>
      <name val="Tahoma"/>
      <charset val="1"/>
    </font>
    <font>
      <b/>
      <sz val="9"/>
      <color indexed="81"/>
      <name val="Tahoma"/>
      <charset val="1"/>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70C0"/>
        <bgColor indexed="64"/>
      </patternFill>
    </fill>
    <fill>
      <patternFill patternType="solid">
        <fgColor rgb="FF7030A0"/>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6"/>
        <bgColor indexed="64"/>
      </patternFill>
    </fill>
    <fill>
      <patternFill patternType="solid">
        <fgColor theme="8" tint="0.59999389629810485"/>
        <bgColor indexed="64"/>
      </patternFill>
    </fill>
    <fill>
      <patternFill patternType="solid">
        <fgColor rgb="FFFF0000"/>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1" tint="4.9989318521683403E-2"/>
        <bgColor indexed="64"/>
      </patternFill>
    </fill>
  </fills>
  <borders count="1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2" fillId="0" borderId="0" applyNumberFormat="0" applyFill="0" applyBorder="0" applyAlignment="0" applyProtection="0"/>
  </cellStyleXfs>
  <cellXfs count="110">
    <xf numFmtId="0" fontId="0" fillId="0" borderId="0" xfId="0"/>
    <xf numFmtId="0" fontId="0" fillId="0" borderId="0" xfId="0" quotePrefix="1"/>
    <xf numFmtId="164" fontId="0" fillId="0" borderId="0" xfId="1" applyNumberFormat="1" applyFont="1"/>
    <xf numFmtId="0" fontId="0" fillId="2" borderId="0" xfId="0" applyFill="1"/>
    <xf numFmtId="0" fontId="0" fillId="3" borderId="0" xfId="0" applyFill="1"/>
    <xf numFmtId="0" fontId="0" fillId="4" borderId="0" xfId="0" applyFill="1"/>
    <xf numFmtId="0" fontId="0" fillId="5" borderId="0" xfId="0" applyFill="1"/>
    <xf numFmtId="0" fontId="2" fillId="0" borderId="0" xfId="0" applyFont="1"/>
    <xf numFmtId="44" fontId="0" fillId="0" borderId="0" xfId="1" applyFont="1"/>
    <xf numFmtId="44" fontId="0" fillId="0" borderId="0" xfId="0" applyNumberFormat="1"/>
    <xf numFmtId="164" fontId="0" fillId="0" borderId="0" xfId="0" applyNumberFormat="1"/>
    <xf numFmtId="1" fontId="0" fillId="0" borderId="0" xfId="0" applyNumberFormat="1"/>
    <xf numFmtId="2" fontId="0" fillId="0" borderId="0" xfId="0" applyNumberFormat="1"/>
    <xf numFmtId="6" fontId="0" fillId="0" borderId="0" xfId="0" applyNumberFormat="1"/>
    <xf numFmtId="8" fontId="0" fillId="0" borderId="0" xfId="0" applyNumberFormat="1"/>
    <xf numFmtId="8" fontId="0" fillId="0" borderId="0" xfId="1" applyNumberFormat="1" applyFont="1"/>
    <xf numFmtId="165" fontId="0" fillId="0" borderId="0" xfId="2" applyNumberFormat="1" applyFont="1"/>
    <xf numFmtId="9" fontId="0" fillId="0" borderId="0" xfId="0" applyNumberFormat="1"/>
    <xf numFmtId="166" fontId="0" fillId="0" borderId="0" xfId="0" applyNumberFormat="1"/>
    <xf numFmtId="0" fontId="0" fillId="0" borderId="0" xfId="0" applyAlignment="1">
      <alignment horizontal="left"/>
    </xf>
    <xf numFmtId="9" fontId="0" fillId="0" borderId="0" xfId="0" applyNumberFormat="1" applyAlignment="1">
      <alignment horizontal="left"/>
    </xf>
    <xf numFmtId="9" fontId="0" fillId="0" borderId="0" xfId="0" applyNumberFormat="1" applyAlignment="1">
      <alignment horizontal="right"/>
    </xf>
    <xf numFmtId="0" fontId="0" fillId="6" borderId="0" xfId="0" applyFill="1"/>
    <xf numFmtId="6" fontId="0" fillId="6" borderId="0" xfId="0" applyNumberFormat="1" applyFill="1"/>
    <xf numFmtId="167" fontId="0" fillId="0" borderId="0" xfId="2" applyNumberFormat="1" applyFont="1" applyAlignment="1">
      <alignment horizontal="right"/>
    </xf>
    <xf numFmtId="168" fontId="0" fillId="0" borderId="0" xfId="0" applyNumberFormat="1"/>
    <xf numFmtId="9" fontId="0" fillId="0" borderId="0" xfId="3" applyFont="1"/>
    <xf numFmtId="0" fontId="5" fillId="0" borderId="1" xfId="0" applyFont="1" applyBorder="1"/>
    <xf numFmtId="0" fontId="5" fillId="0" borderId="0" xfId="0" applyFont="1"/>
    <xf numFmtId="0" fontId="6" fillId="0" borderId="0" xfId="0" applyFont="1"/>
    <xf numFmtId="169" fontId="0" fillId="0" borderId="0" xfId="0" applyNumberFormat="1" applyAlignment="1">
      <alignment horizontal="center"/>
    </xf>
    <xf numFmtId="169" fontId="0" fillId="0" borderId="0" xfId="0" applyNumberFormat="1"/>
    <xf numFmtId="0" fontId="7" fillId="7" borderId="0" xfId="0" applyFont="1" applyFill="1"/>
    <xf numFmtId="0" fontId="0" fillId="8" borderId="0" xfId="0" applyFill="1"/>
    <xf numFmtId="43" fontId="0" fillId="0" borderId="0" xfId="2" applyFont="1"/>
    <xf numFmtId="0" fontId="8" fillId="0" borderId="2" xfId="0" applyFont="1" applyBorder="1"/>
    <xf numFmtId="0" fontId="0" fillId="0" borderId="3" xfId="0" applyBorder="1"/>
    <xf numFmtId="171" fontId="0" fillId="0" borderId="0" xfId="0" applyNumberFormat="1"/>
    <xf numFmtId="170" fontId="0" fillId="0" borderId="4" xfId="0" applyNumberFormat="1" applyBorder="1"/>
    <xf numFmtId="0" fontId="0" fillId="9" borderId="0" xfId="0" applyFill="1" applyAlignment="1">
      <alignment horizontal="right"/>
    </xf>
    <xf numFmtId="6" fontId="2" fillId="9" borderId="0" xfId="0" applyNumberFormat="1" applyFont="1" applyFill="1"/>
    <xf numFmtId="0" fontId="9" fillId="0" borderId="0" xfId="0" applyFont="1"/>
    <xf numFmtId="0" fontId="10" fillId="0" borderId="0" xfId="0" applyFont="1"/>
    <xf numFmtId="164" fontId="9" fillId="0" borderId="0" xfId="1" applyNumberFormat="1" applyFont="1"/>
    <xf numFmtId="0" fontId="11" fillId="0" borderId="0" xfId="0" applyFont="1" applyAlignment="1">
      <alignment horizontal="center"/>
    </xf>
    <xf numFmtId="0" fontId="0" fillId="0" borderId="0" xfId="0" applyAlignment="1">
      <alignment horizontal="right"/>
    </xf>
    <xf numFmtId="0" fontId="7" fillId="0" borderId="0" xfId="4" applyFont="1" applyAlignment="1">
      <alignment vertical="center" wrapText="1"/>
    </xf>
    <xf numFmtId="0" fontId="0" fillId="0" borderId="0" xfId="0" applyAlignment="1">
      <alignment wrapText="1"/>
    </xf>
    <xf numFmtId="167" fontId="0" fillId="0" borderId="0" xfId="2" applyNumberFormat="1" applyFont="1"/>
    <xf numFmtId="0" fontId="0" fillId="10" borderId="0" xfId="0" applyFill="1"/>
    <xf numFmtId="6" fontId="5" fillId="0" borderId="1" xfId="0" applyNumberFormat="1" applyFont="1" applyBorder="1"/>
    <xf numFmtId="165" fontId="0" fillId="0" borderId="0" xfId="0" applyNumberFormat="1"/>
    <xf numFmtId="0" fontId="11" fillId="11" borderId="0" xfId="0" applyFont="1" applyFill="1" applyAlignment="1">
      <alignment horizontal="center"/>
    </xf>
    <xf numFmtId="0" fontId="9" fillId="11" borderId="0" xfId="0" applyFont="1" applyFill="1"/>
    <xf numFmtId="0" fontId="9" fillId="12" borderId="0" xfId="0" applyFont="1" applyFill="1"/>
    <xf numFmtId="164" fontId="9" fillId="0" borderId="0" xfId="0" applyNumberFormat="1" applyFont="1"/>
    <xf numFmtId="1" fontId="10" fillId="0" borderId="0" xfId="0" applyNumberFormat="1" applyFont="1" applyAlignment="1">
      <alignment horizontal="left"/>
    </xf>
    <xf numFmtId="0" fontId="13" fillId="0" borderId="0" xfId="0" applyFont="1"/>
    <xf numFmtId="172" fontId="0" fillId="0" borderId="0" xfId="2" applyNumberFormat="1" applyFont="1"/>
    <xf numFmtId="0" fontId="0" fillId="0" borderId="0" xfId="0" applyAlignment="1">
      <alignment horizontal="center"/>
    </xf>
    <xf numFmtId="0" fontId="0" fillId="13" borderId="0" xfId="0" applyFill="1"/>
    <xf numFmtId="0" fontId="9" fillId="0" borderId="0" xfId="0" applyFont="1" applyAlignment="1">
      <alignment horizontal="right"/>
    </xf>
    <xf numFmtId="173" fontId="0" fillId="0" borderId="0" xfId="0" applyNumberFormat="1"/>
    <xf numFmtId="16" fontId="0" fillId="0" borderId="0" xfId="0" applyNumberFormat="1"/>
    <xf numFmtId="43" fontId="0" fillId="0" borderId="0" xfId="0" applyNumberFormat="1"/>
    <xf numFmtId="165" fontId="2" fillId="9" borderId="0" xfId="2" applyNumberFormat="1" applyFont="1" applyFill="1"/>
    <xf numFmtId="172" fontId="0" fillId="0" borderId="0" xfId="0" applyNumberFormat="1"/>
    <xf numFmtId="0" fontId="0" fillId="14" borderId="0" xfId="0" applyFill="1" applyAlignment="1">
      <alignment horizontal="left"/>
    </xf>
    <xf numFmtId="9" fontId="0" fillId="14" borderId="0" xfId="0" applyNumberFormat="1" applyFill="1" applyAlignment="1">
      <alignment horizontal="right"/>
    </xf>
    <xf numFmtId="174" fontId="0" fillId="0" borderId="0" xfId="0" applyNumberForma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2" fillId="0" borderId="5" xfId="0" applyFont="1" applyBorder="1"/>
    <xf numFmtId="0" fontId="2" fillId="0" borderId="8" xfId="0" applyFont="1" applyBorder="1"/>
    <xf numFmtId="0" fontId="2" fillId="0" borderId="11" xfId="0" applyFont="1" applyBorder="1"/>
    <xf numFmtId="0" fontId="2" fillId="0" borderId="12" xfId="0" applyFont="1" applyBorder="1"/>
    <xf numFmtId="0" fontId="10" fillId="0" borderId="8" xfId="0" applyFont="1" applyBorder="1"/>
    <xf numFmtId="166" fontId="0" fillId="0" borderId="9" xfId="0" applyNumberFormat="1" applyBorder="1"/>
    <xf numFmtId="166" fontId="0" fillId="0" borderId="12" xfId="0" applyNumberFormat="1" applyBorder="1"/>
    <xf numFmtId="0" fontId="2" fillId="0" borderId="9" xfId="0" applyFont="1" applyBorder="1"/>
    <xf numFmtId="6" fontId="2" fillId="0" borderId="0" xfId="0" applyNumberFormat="1" applyFont="1"/>
    <xf numFmtId="1" fontId="10" fillId="0" borderId="0" xfId="0" applyNumberFormat="1" applyFont="1"/>
    <xf numFmtId="169" fontId="0" fillId="2" borderId="0" xfId="0" applyNumberFormat="1" applyFill="1" applyAlignment="1">
      <alignment horizontal="center"/>
    </xf>
    <xf numFmtId="169" fontId="0" fillId="2" borderId="0" xfId="0" applyNumberFormat="1" applyFill="1"/>
    <xf numFmtId="0" fontId="10" fillId="3" borderId="0" xfId="0" applyFont="1" applyFill="1"/>
    <xf numFmtId="0" fontId="9" fillId="3" borderId="0" xfId="0" applyFont="1" applyFill="1"/>
    <xf numFmtId="164" fontId="9" fillId="2" borderId="0" xfId="1" applyNumberFormat="1" applyFont="1" applyFill="1"/>
    <xf numFmtId="0" fontId="14" fillId="0" borderId="0" xfId="0" applyFont="1"/>
    <xf numFmtId="9" fontId="0" fillId="0" borderId="0" xfId="2" applyNumberFormat="1" applyFont="1"/>
    <xf numFmtId="165" fontId="2" fillId="9" borderId="0" xfId="0" applyNumberFormat="1" applyFont="1" applyFill="1"/>
    <xf numFmtId="1" fontId="10" fillId="2" borderId="0" xfId="0" applyNumberFormat="1" applyFont="1" applyFill="1"/>
    <xf numFmtId="1" fontId="0" fillId="2" borderId="0" xfId="0" applyNumberFormat="1" applyFill="1"/>
    <xf numFmtId="14" fontId="0" fillId="0" borderId="0" xfId="0" applyNumberFormat="1"/>
    <xf numFmtId="5" fontId="0" fillId="0" borderId="0" xfId="0" applyNumberFormat="1"/>
    <xf numFmtId="175" fontId="0" fillId="0" borderId="0" xfId="0" applyNumberFormat="1"/>
    <xf numFmtId="175" fontId="9" fillId="0" borderId="0" xfId="0" applyNumberFormat="1" applyFont="1"/>
    <xf numFmtId="49" fontId="0" fillId="0" borderId="0" xfId="0" applyNumberFormat="1"/>
    <xf numFmtId="0" fontId="0" fillId="0" borderId="0" xfId="0" applyFill="1"/>
    <xf numFmtId="0" fontId="12" fillId="0" borderId="0" xfId="4"/>
    <xf numFmtId="0" fontId="12" fillId="0" borderId="0" xfId="4" applyAlignment="1">
      <alignment wrapText="1"/>
    </xf>
    <xf numFmtId="15" fontId="0" fillId="0" borderId="0" xfId="0" applyNumberFormat="1"/>
    <xf numFmtId="0" fontId="8" fillId="0" borderId="0" xfId="0" applyFont="1"/>
    <xf numFmtId="17" fontId="0" fillId="0" borderId="0" xfId="0" applyNumberFormat="1"/>
    <xf numFmtId="0" fontId="0" fillId="0" borderId="0" xfId="0" applyAlignment="1">
      <alignment vertical="center"/>
    </xf>
    <xf numFmtId="0" fontId="0" fillId="0" borderId="0" xfId="0" applyAlignment="1">
      <alignment horizontal="center"/>
    </xf>
  </cellXfs>
  <cellStyles count="5">
    <cellStyle name="Comma" xfId="2" builtinId="3"/>
    <cellStyle name="Currency" xfId="1" builtinId="4"/>
    <cellStyle name="Hyperlink" xfId="4" builtinId="8"/>
    <cellStyle name="Normal" xfId="0" builtinId="0"/>
    <cellStyle name="Percent" xfId="3" builtinId="5"/>
  </cellStyles>
  <dxfs count="3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13</xdr:col>
          <xdr:colOff>510540</xdr:colOff>
          <xdr:row>9</xdr:row>
          <xdr:rowOff>60960</xdr:rowOff>
        </xdr:from>
        <xdr:to>
          <xdr:col>23</xdr:col>
          <xdr:colOff>99060</xdr:colOff>
          <xdr:row>49</xdr:row>
          <xdr:rowOff>99060</xdr:rowOff>
        </xdr:to>
        <xdr:sp macro="" textlink="">
          <xdr:nvSpPr>
            <xdr:cNvPr id="36865" name="Object 1" hidden="1">
              <a:extLst>
                <a:ext uri="{63B3BB69-23CF-44E3-9099-C40C66FF867C}">
                  <a14:compatExt spid="_x0000_s36865"/>
                </a:ext>
                <a:ext uri="{FF2B5EF4-FFF2-40B4-BE49-F238E27FC236}">
                  <a16:creationId xmlns:a16="http://schemas.microsoft.com/office/drawing/2014/main" id="{00000000-0008-0000-0000-0000019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Christopher Barth" id="{578C1E12-7ADD-433F-9B5C-E8BB51ADF147}" userId="Christopher Barth"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arageWallCost" displayName="GarageWallCost" ref="O19:Q39">
  <autoFilter ref="O19:Q39" xr:uid="{00000000-0009-0000-0100-000001000000}"/>
  <tableColumns count="3">
    <tableColumn id="1" xr3:uid="{00000000-0010-0000-0000-000001000000}" name="Foundation wall cost" totalsRowLabel="Total"/>
    <tableColumn id="2" xr3:uid="{00000000-0010-0000-0000-000002000000}" name="basement_height"/>
    <tableColumn id="3" xr3:uid="{00000000-0010-0000-0000-000003000000}" name="cars" totalsRowFunction="sum"/>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774" dT="2020-11-11T19:13:54.02" personId="{578C1E12-7ADD-433F-9B5C-E8BB51ADF147}" id="{ABF69760-B123-4BCB-86A8-9B8B784BA0E2}">
    <text>for patio, need to add costs for concrete slab below stone.  also need to add costs of stairs/railing to get down to patio.  for patio, need to output budget/allowance for concerte, stone, mason labor/materials, framing materials for stairs/landing, decking material for stairs/landing, railing materials for stairs/railing, and framing labor</text>
  </threadedComment>
  <threadedComment ref="B807" dT="2020-11-11T19:28:05.11" personId="{578C1E12-7ADD-433F-9B5C-E8BB51ADF147}" id="{BD0BE3A5-1C0C-4537-807C-3A97FC336DB4}">
    <text>need to add more detail to porch. costs should be broken between foundation, walking surface (decking or flagstone, if flagstone, more concrete, if decking, then framing labor/material), posts/beam trim, ceiling trim, and railing (level railing and stairs railing).  we should assume 4 stairs and a stairs railing in the cost.  we should ouput the budget/allowance for each of these items broken between labor and material where applicable. The foundation/slab costs should be added to the foundation budget.  The foundation quote will include the porch walls in the overall walls of the home, but the porch slab is typically broken out</text>
  </threadedComment>
  <threadedComment ref="B980" dT="2020-11-11T18:11:57.43" personId="{578C1E12-7ADD-433F-9B5C-E8BB51ADF147}" id="{C005BA3E-BDA9-44EC-BA2E-3FA728E319BC}">
    <text>need to adjust pricing to account for a complex/flat roof complexity selection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herwin-williams.com/CompareProductsDisplayView?storeId=10151&amp;catalogId=11052&amp;langId=&amp;compareReturnName=Paint%20&amp;%20Coatings&amp;searchTerm=&amp;categoryId=21977&amp;catentryId=13243;13326;317016;13169;13229&amp;returnUrl=https:%2F%2Fwww.sherwin-williams.com%2Fpainting-contractors%2Fpaint-coatings-interior%23facet:-70000000000000057057010897116%26productBeginIndex:0%26orderBy:%26pageView:grid%26minPrice:%26maxPrice:%26pageSize:45%26%3FfromPage%3Dcompare" TargetMode="External"/><Relationship Id="rId13" Type="http://schemas.openxmlformats.org/officeDocument/2006/relationships/hyperlink" Target="https://www.sherwin-williams.com/painting-contractors/products/emerald-interior-acrylic-latex-paint/651016925?replacement=true" TargetMode="External"/><Relationship Id="rId3" Type="http://schemas.openxmlformats.org/officeDocument/2006/relationships/hyperlink" Target="http://www.moen.com/2200-series/25-x22-stainless-steel-22-gauge-single-bowl-drop-in-sink/_/R-CONSUMER%3AG221984?next=SiteSearch.Image%7CPDP" TargetMode="External"/><Relationship Id="rId7" Type="http://schemas.openxmlformats.org/officeDocument/2006/relationships/hyperlink" Target="http://www.moen.com/2200-series/25-x22-stainless-steel-22-gauge-single-bowl-drop-in-sink/_/R-CONSUMER%3AG221984?next=SiteSearch.Image%7CPDP" TargetMode="External"/><Relationship Id="rId12" Type="http://schemas.openxmlformats.org/officeDocument/2006/relationships/hyperlink" Target="https://www.sherwin-williams.com/painting-contractors/products/duration-home-interior-acrylic-latex" TargetMode="External"/><Relationship Id="rId17" Type="http://schemas.microsoft.com/office/2017/10/relationships/threadedComment" Target="../threadedComments/threadedComment1.xml"/><Relationship Id="rId2" Type="http://schemas.openxmlformats.org/officeDocument/2006/relationships/hyperlink" Target="http://www.moen.com/2200-series/25-x22-stainless-steel-22-gauge-single-bowl-drop-in-sink/_/R-CONSUMER%3AG221984?next=SiteSearch.Image%7CPDP" TargetMode="External"/><Relationship Id="rId16" Type="http://schemas.openxmlformats.org/officeDocument/2006/relationships/comments" Target="../comments4.xml"/><Relationship Id="rId1" Type="http://schemas.openxmlformats.org/officeDocument/2006/relationships/hyperlink" Target="http://www.moen.com/2200-series/25-x22-stainless-steel-22-gauge-single-bowl-drop-in-sink/_/R-CONSUMER%3AG221984?next=SiteSearch.Image%7CPDP" TargetMode="External"/><Relationship Id="rId6" Type="http://schemas.openxmlformats.org/officeDocument/2006/relationships/hyperlink" Target="http://www.moen.com/2200-series/25-x22-stainless-steel-22-gauge-single-bowl-drop-in-sink/_/R-CONSUMER%3AG221984?next=SiteSearch.Image%7CPDP" TargetMode="External"/><Relationship Id="rId11" Type="http://schemas.openxmlformats.org/officeDocument/2006/relationships/hyperlink" Target="https://www.sherwin-williams.com/painting-contractors/products/extreme-cover-stain-blocking" TargetMode="External"/><Relationship Id="rId5" Type="http://schemas.openxmlformats.org/officeDocument/2006/relationships/hyperlink" Target="http://www.moen.com/2200-series/25-x22-stainless-steel-22-gauge-single-bowl-drop-in-sink/_/R-CONSUMER%3AG221984?next=SiteSearch.Image%7CPDP" TargetMode="External"/><Relationship Id="rId15" Type="http://schemas.openxmlformats.org/officeDocument/2006/relationships/vmlDrawing" Target="../drawings/vmlDrawing5.vml"/><Relationship Id="rId10" Type="http://schemas.openxmlformats.org/officeDocument/2006/relationships/hyperlink" Target="https://www.sherwin-williams.com/painting-contractors/products/promar-200-zero-voc-interior-latex/650946635?replacement=true" TargetMode="External"/><Relationship Id="rId4" Type="http://schemas.openxmlformats.org/officeDocument/2006/relationships/hyperlink" Target="http://www.moen.com/2200-series/25-x22-stainless-steel-22-gauge-single-bowl-drop-in-sink/_/R-CONSUMER%3AG221984?next=SiteSearch.Image%7CPDP" TargetMode="External"/><Relationship Id="rId9" Type="http://schemas.openxmlformats.org/officeDocument/2006/relationships/hyperlink" Target="https://www.sherwin-williams.com/painting-contractors/products/painters-edge-interior-latex" TargetMode="External"/><Relationship Id="rId14"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9C14-A190-478A-B403-78089D291D25}">
  <dimension ref="B4:F11"/>
  <sheetViews>
    <sheetView topLeftCell="A4" workbookViewId="0">
      <selection activeCell="F10" sqref="F10"/>
    </sheetView>
  </sheetViews>
  <sheetFormatPr defaultRowHeight="14.4" x14ac:dyDescent="0.3"/>
  <cols>
    <col min="2" max="2" width="9.44140625" bestFit="1" customWidth="1"/>
    <col min="3" max="3" width="19" bestFit="1" customWidth="1"/>
    <col min="4" max="4" width="41.77734375" customWidth="1"/>
    <col min="5" max="5" width="29.21875" bestFit="1" customWidth="1"/>
    <col min="6" max="6" width="64.21875" customWidth="1"/>
  </cols>
  <sheetData>
    <row r="4" spans="2:6" x14ac:dyDescent="0.3">
      <c r="B4" s="106" t="s">
        <v>1300</v>
      </c>
      <c r="C4" s="106" t="s">
        <v>1357</v>
      </c>
      <c r="D4" s="106" t="s">
        <v>56</v>
      </c>
      <c r="E4" s="106" t="s">
        <v>1358</v>
      </c>
      <c r="F4" s="106" t="s">
        <v>4</v>
      </c>
    </row>
    <row r="5" spans="2:6" x14ac:dyDescent="0.3">
      <c r="B5" s="105">
        <v>43724</v>
      </c>
      <c r="C5" t="s">
        <v>1359</v>
      </c>
      <c r="D5" t="s">
        <v>1360</v>
      </c>
      <c r="E5" t="s">
        <v>1361</v>
      </c>
    </row>
    <row r="6" spans="2:6" x14ac:dyDescent="0.3">
      <c r="B6" s="105">
        <v>43724</v>
      </c>
      <c r="C6" t="s">
        <v>1362</v>
      </c>
      <c r="D6" s="14">
        <v>7.5</v>
      </c>
      <c r="E6" t="s">
        <v>1361</v>
      </c>
    </row>
    <row r="7" spans="2:6" x14ac:dyDescent="0.3">
      <c r="B7" s="105">
        <v>43756</v>
      </c>
      <c r="C7" t="s">
        <v>1385</v>
      </c>
      <c r="D7" t="s">
        <v>1386</v>
      </c>
      <c r="E7" t="s">
        <v>1387</v>
      </c>
    </row>
    <row r="8" spans="2:6" x14ac:dyDescent="0.3">
      <c r="B8" s="107">
        <v>43739</v>
      </c>
      <c r="C8" t="s">
        <v>1395</v>
      </c>
      <c r="D8" t="s">
        <v>1396</v>
      </c>
      <c r="E8" t="s">
        <v>1397</v>
      </c>
    </row>
    <row r="9" spans="2:6" x14ac:dyDescent="0.3">
      <c r="B9" s="63">
        <v>43818</v>
      </c>
      <c r="C9" t="s">
        <v>1398</v>
      </c>
      <c r="D9" s="108" t="s">
        <v>1399</v>
      </c>
      <c r="E9" t="s">
        <v>1400</v>
      </c>
      <c r="F9" t="s">
        <v>1401</v>
      </c>
    </row>
    <row r="10" spans="2:6" x14ac:dyDescent="0.3">
      <c r="D10" s="108"/>
    </row>
    <row r="11" spans="2:6" x14ac:dyDescent="0.3">
      <c r="D11" s="108"/>
    </row>
  </sheetData>
  <pageMargins left="0.7" right="0.7" top="0.75" bottom="0.75" header="0.3" footer="0.3"/>
  <pageSetup orientation="portrait" r:id="rId1"/>
  <drawing r:id="rId2"/>
  <legacyDrawing r:id="rId3"/>
  <oleObjects>
    <mc:AlternateContent xmlns:mc="http://schemas.openxmlformats.org/markup-compatibility/2006">
      <mc:Choice Requires="x14">
        <oleObject progId="Acrobat.Document.11" shapeId="36865" r:id="rId4">
          <objectPr defaultSize="0" autoPict="0" r:id="rId5">
            <anchor moveWithCells="1">
              <from>
                <xdr:col>13</xdr:col>
                <xdr:colOff>510540</xdr:colOff>
                <xdr:row>9</xdr:row>
                <xdr:rowOff>60960</xdr:rowOff>
              </from>
              <to>
                <xdr:col>23</xdr:col>
                <xdr:colOff>99060</xdr:colOff>
                <xdr:row>49</xdr:row>
                <xdr:rowOff>99060</xdr:rowOff>
              </to>
            </anchor>
          </objectPr>
        </oleObject>
      </mc:Choice>
      <mc:Fallback>
        <oleObject progId="Acrobat.Document.11" shapeId="36865" r:id="rId4"/>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autoPageBreaks="0"/>
  </sheetPr>
  <dimension ref="A1:AH165"/>
  <sheetViews>
    <sheetView topLeftCell="D1" zoomScale="115" zoomScaleNormal="115" workbookViewId="0">
      <selection activeCell="O17" sqref="O17"/>
    </sheetView>
  </sheetViews>
  <sheetFormatPr defaultColWidth="8.88671875" defaultRowHeight="14.4" x14ac:dyDescent="0.3"/>
  <cols>
    <col min="4" max="4" width="10.44140625" bestFit="1" customWidth="1"/>
    <col min="5" max="5" width="7.33203125" bestFit="1" customWidth="1"/>
    <col min="6" max="6" width="71.109375" bestFit="1" customWidth="1"/>
    <col min="7" max="7" width="7.33203125" customWidth="1"/>
    <col min="8" max="8" width="13.44140625" bestFit="1" customWidth="1"/>
    <col min="9" max="9" width="20.88671875" bestFit="1" customWidth="1"/>
    <col min="10" max="10" width="25.6640625" bestFit="1" customWidth="1"/>
    <col min="11" max="11" width="11.109375" bestFit="1" customWidth="1"/>
    <col min="12" max="12" width="17.6640625" bestFit="1" customWidth="1"/>
    <col min="13" max="13" width="33.109375" bestFit="1" customWidth="1"/>
    <col min="15" max="15" width="38.6640625" bestFit="1" customWidth="1"/>
    <col min="16" max="16" width="28.33203125" bestFit="1" customWidth="1"/>
    <col min="18" max="18" width="23.44140625" bestFit="1" customWidth="1"/>
    <col min="19" max="20" width="23.44140625" customWidth="1"/>
    <col min="21" max="21" width="45" bestFit="1" customWidth="1"/>
    <col min="22" max="22" width="14.6640625" bestFit="1" customWidth="1"/>
    <col min="23" max="23" width="10.109375" bestFit="1" customWidth="1"/>
    <col min="24" max="24" width="11.5546875" bestFit="1" customWidth="1"/>
    <col min="25" max="25" width="11.6640625" bestFit="1" customWidth="1"/>
    <col min="26" max="26" width="34.44140625" bestFit="1" customWidth="1"/>
    <col min="27" max="27" width="26.109375" bestFit="1" customWidth="1"/>
    <col min="28" max="28" width="32.33203125" bestFit="1" customWidth="1"/>
    <col min="29" max="29" width="35.33203125" bestFit="1" customWidth="1"/>
    <col min="30" max="30" width="35" bestFit="1" customWidth="1"/>
    <col min="31" max="31" width="16" bestFit="1" customWidth="1"/>
    <col min="33" max="33" width="35.6640625" bestFit="1" customWidth="1"/>
  </cols>
  <sheetData>
    <row r="1" spans="1:34" x14ac:dyDescent="0.3">
      <c r="B1" s="17"/>
    </row>
    <row r="3" spans="1:34" x14ac:dyDescent="0.3">
      <c r="A3" t="s">
        <v>109</v>
      </c>
      <c r="B3" t="s">
        <v>109</v>
      </c>
      <c r="C3" t="s">
        <v>109</v>
      </c>
      <c r="D3" t="s">
        <v>109</v>
      </c>
      <c r="E3" t="s">
        <v>109</v>
      </c>
      <c r="F3" t="s">
        <v>109</v>
      </c>
      <c r="G3" t="s">
        <v>109</v>
      </c>
      <c r="I3" s="59" t="s">
        <v>12</v>
      </c>
      <c r="J3" s="59" t="s">
        <v>12</v>
      </c>
      <c r="K3" s="59" t="s">
        <v>12</v>
      </c>
      <c r="L3" s="59" t="s">
        <v>12</v>
      </c>
      <c r="M3" s="59" t="s">
        <v>13</v>
      </c>
      <c r="O3" s="59" t="s">
        <v>15</v>
      </c>
      <c r="P3" s="59" t="s">
        <v>15</v>
      </c>
      <c r="Q3" s="59" t="s">
        <v>15</v>
      </c>
      <c r="R3" s="59" t="s">
        <v>15</v>
      </c>
      <c r="S3" s="59" t="s">
        <v>15</v>
      </c>
      <c r="T3" t="s">
        <v>903</v>
      </c>
      <c r="U3" t="s">
        <v>439</v>
      </c>
      <c r="V3" t="s">
        <v>439</v>
      </c>
      <c r="W3" t="s">
        <v>439</v>
      </c>
      <c r="Y3" t="s">
        <v>17</v>
      </c>
      <c r="Z3" t="s">
        <v>17</v>
      </c>
      <c r="AA3" t="s">
        <v>17</v>
      </c>
      <c r="AB3" s="59" t="s">
        <v>18</v>
      </c>
      <c r="AC3" s="59" t="s">
        <v>18</v>
      </c>
      <c r="AD3" s="59" t="s">
        <v>18</v>
      </c>
      <c r="AG3" s="59" t="s">
        <v>52</v>
      </c>
      <c r="AH3" s="59" t="s">
        <v>52</v>
      </c>
    </row>
    <row r="4" spans="1:34" x14ac:dyDescent="0.3">
      <c r="B4">
        <v>1500</v>
      </c>
      <c r="C4">
        <v>1699</v>
      </c>
      <c r="D4" t="str">
        <f t="shared" ref="D4:D27" si="0">B4&amp; " - "&amp;C4</f>
        <v>1500 - 1699</v>
      </c>
      <c r="F4" t="s">
        <v>1334</v>
      </c>
      <c r="G4" s="11">
        <f>IF('Attributes Inputs and Outputs'!J8=2, G10-G5, 0)</f>
        <v>1399.5</v>
      </c>
    </row>
    <row r="5" spans="1:34" x14ac:dyDescent="0.3">
      <c r="B5">
        <f t="shared" ref="B5:B21" si="1">B4+200</f>
        <v>1700</v>
      </c>
      <c r="C5">
        <f t="shared" ref="C5:C21" si="2">C4+200</f>
        <v>1899</v>
      </c>
      <c r="D5" t="str">
        <f t="shared" si="0"/>
        <v>1700 - 1899</v>
      </c>
      <c r="F5" t="s">
        <v>1333</v>
      </c>
      <c r="G5" s="11">
        <f>IF('Attributes Inputs and Outputs'!J8=2, IF(NOT('Attributes Inputs and Outputs'!S8='Defaults and Ranges'!W27),('Attributes Calculations'!E16-'Attributes Back Calcs'!G9)/2, 'Attributes Calculations'!E16/2 ), 'Attributes Calculations'!E16)</f>
        <v>899.5</v>
      </c>
      <c r="I5" t="s">
        <v>1112</v>
      </c>
      <c r="K5" s="10">
        <f>K51*G8</f>
        <v>2698.5</v>
      </c>
      <c r="M5" t="s">
        <v>796</v>
      </c>
      <c r="AB5" s="59"/>
    </row>
    <row r="6" spans="1:34" x14ac:dyDescent="0.3">
      <c r="B6">
        <f t="shared" si="1"/>
        <v>1900</v>
      </c>
      <c r="C6">
        <f t="shared" si="2"/>
        <v>2099</v>
      </c>
      <c r="D6" t="str">
        <f t="shared" si="0"/>
        <v>1900 - 2099</v>
      </c>
      <c r="F6" t="s">
        <v>1340</v>
      </c>
      <c r="G6" s="11">
        <f>IF(IF(NOT('Attributes Inputs and Outputs'!S8='Defaults and Ranges'!W27 ), G5, G5-G9)*(IF('Attributes Inputs and Outputs'!E8='Defaults and Ranges'!G24, 0, 1))&lt;0, 0, IF(NOT('Attributes Inputs and Outputs'!S8='Defaults and Ranges'!W27 ), G5, G5-G9)*(IF('Attributes Inputs and Outputs'!E8='Defaults and Ranges'!G24, 0, 1)))</f>
        <v>899.5</v>
      </c>
      <c r="L6" s="10"/>
      <c r="M6" s="11">
        <f>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 ))</f>
        <v>149.63956696007912</v>
      </c>
      <c r="O6" t="s">
        <v>442</v>
      </c>
      <c r="U6" t="s">
        <v>366</v>
      </c>
      <c r="Y6" t="s">
        <v>12</v>
      </c>
      <c r="Z6" t="s">
        <v>443</v>
      </c>
      <c r="AA6" t="s">
        <v>444</v>
      </c>
      <c r="AB6" s="59" t="s">
        <v>23</v>
      </c>
      <c r="AC6" s="59" t="s">
        <v>24</v>
      </c>
      <c r="AD6" s="59" t="s">
        <v>25</v>
      </c>
      <c r="AF6" s="17"/>
      <c r="AG6" t="s">
        <v>445</v>
      </c>
      <c r="AH6" s="13">
        <v>4000</v>
      </c>
    </row>
    <row r="7" spans="1:34" x14ac:dyDescent="0.3">
      <c r="B7">
        <f t="shared" si="1"/>
        <v>2100</v>
      </c>
      <c r="C7">
        <f t="shared" si="2"/>
        <v>2299</v>
      </c>
      <c r="D7" s="3" t="str">
        <f t="shared" si="0"/>
        <v>2100 - 2299</v>
      </c>
      <c r="E7" t="s">
        <v>446</v>
      </c>
      <c r="F7" t="s">
        <v>1295</v>
      </c>
      <c r="G7" s="11">
        <f>IF(AND('Attributes Inputs and Outputs'!E8='Defaults and Ranges'!G26, G6&gt;0), 1, 0)*IF('Attributes Inputs and Outputs'!J8=1, 'Attributes Back Calcs'!G5/2, 'Attributes Back Calcs'!G5-IF('Attributes Inputs and Outputs'!S8='Defaults and Ranges'!W27, G9, 0))</f>
        <v>0</v>
      </c>
      <c r="M7" t="s">
        <v>795</v>
      </c>
      <c r="O7">
        <v>250</v>
      </c>
      <c r="U7" s="7" t="s">
        <v>447</v>
      </c>
      <c r="V7" s="7">
        <f>LOOKUP('Attributes Calculations'!W10, 'Attributes Back Calcs'!U9:U13,'Attributes Back Calcs'!V9:V13)</f>
        <v>3200</v>
      </c>
      <c r="AB7" s="2"/>
      <c r="AC7" s="2"/>
      <c r="AD7" s="2"/>
      <c r="AF7" s="17"/>
      <c r="AG7" t="s">
        <v>448</v>
      </c>
      <c r="AH7" s="13">
        <v>4000</v>
      </c>
    </row>
    <row r="8" spans="1:34" x14ac:dyDescent="0.3">
      <c r="B8">
        <f t="shared" si="1"/>
        <v>2300</v>
      </c>
      <c r="C8">
        <f t="shared" si="2"/>
        <v>2499</v>
      </c>
      <c r="D8" s="3" t="str">
        <f t="shared" si="0"/>
        <v>2300 - 2499</v>
      </c>
      <c r="F8" t="s">
        <v>1332</v>
      </c>
      <c r="G8" s="11">
        <f>G5</f>
        <v>899.5</v>
      </c>
      <c r="I8" t="s">
        <v>440</v>
      </c>
      <c r="J8">
        <v>8</v>
      </c>
      <c r="K8" s="2">
        <f>K29*$G$8+K111</f>
        <v>13492.75</v>
      </c>
      <c r="M8">
        <f>IF('Attributes Inputs and Outputs'!J8=2, IF(OR('Attributes Inputs and Outputs'!E8='Defaults and Ranges'!G25,'Attributes Inputs and Outputs'!E8='Defaults and Ranges'!G26), 'Attributes Inputs and Outputs'!L8+'Attributes Inputs and Outputs'!M8+2,'Attributes Inputs and Outputs'!L8+'Attributes Inputs and Outputs'!M8+1), IF(OR('Attributes Inputs and Outputs'!E8='Defaults and Ranges'!G25,'Attributes Inputs and Outputs'!E8='Defaults and Ranges'!G26),'Attributes Inputs and Outputs'!L8+1,'Attributes Inputs and Outputs'!L8) )</f>
        <v>20</v>
      </c>
      <c r="U8" t="s">
        <v>449</v>
      </c>
      <c r="V8" t="s">
        <v>450</v>
      </c>
      <c r="Z8" t="s">
        <v>451</v>
      </c>
      <c r="AB8" s="59"/>
      <c r="AC8" s="59"/>
      <c r="AD8" s="35" t="s">
        <v>452</v>
      </c>
    </row>
    <row r="9" spans="1:34" x14ac:dyDescent="0.3">
      <c r="B9">
        <f t="shared" si="1"/>
        <v>2500</v>
      </c>
      <c r="C9">
        <f t="shared" si="2"/>
        <v>2699</v>
      </c>
      <c r="D9" s="3" t="str">
        <f t="shared" si="0"/>
        <v>2500 - 2699</v>
      </c>
      <c r="F9" t="s">
        <v>365</v>
      </c>
      <c r="G9" s="11">
        <f>'Attributes Inputs and Outputs'!I8*'Attributes Back Calcs'!O7</f>
        <v>500</v>
      </c>
      <c r="I9" t="s">
        <v>441</v>
      </c>
      <c r="J9">
        <v>9</v>
      </c>
      <c r="K9" s="2">
        <f>K30*$G$8+K112</f>
        <v>14716.070000000002</v>
      </c>
      <c r="L9" s="10"/>
      <c r="M9" t="s">
        <v>1178</v>
      </c>
      <c r="O9" t="s">
        <v>453</v>
      </c>
      <c r="U9">
        <v>8</v>
      </c>
      <c r="V9">
        <v>2900</v>
      </c>
      <c r="Z9" s="8">
        <v>0.75</v>
      </c>
      <c r="AB9" s="59"/>
      <c r="AC9" s="59"/>
      <c r="AD9" s="36" t="s">
        <v>454</v>
      </c>
      <c r="AF9" s="17"/>
      <c r="AG9" t="s">
        <v>409</v>
      </c>
      <c r="AH9" s="14">
        <v>0.6</v>
      </c>
    </row>
    <row r="10" spans="1:34" x14ac:dyDescent="0.3">
      <c r="B10">
        <f t="shared" si="1"/>
        <v>2700</v>
      </c>
      <c r="C10">
        <f t="shared" si="2"/>
        <v>2899</v>
      </c>
      <c r="D10" s="3" t="str">
        <f t="shared" si="0"/>
        <v>2700 - 2899</v>
      </c>
      <c r="F10" t="s">
        <v>900</v>
      </c>
      <c r="G10">
        <f>'Attributes Calculations'!E16</f>
        <v>2299</v>
      </c>
      <c r="J10">
        <v>10</v>
      </c>
      <c r="K10" s="2">
        <f>K31*$G$8+K113</f>
        <v>16071.436600000001</v>
      </c>
      <c r="M10" s="16">
        <f>M6*M8</f>
        <v>2992.7913392015826</v>
      </c>
      <c r="O10">
        <f>IF('Attributes Inputs and Outputs'!J8=1, 'Attributes Back Calcs'!O7, 'Attributes Back Calcs'!O7/2)</f>
        <v>125</v>
      </c>
      <c r="U10">
        <v>9</v>
      </c>
      <c r="V10">
        <v>3200</v>
      </c>
      <c r="Z10" t="s">
        <v>455</v>
      </c>
      <c r="AD10" s="36">
        <v>9000</v>
      </c>
      <c r="AF10" s="17"/>
    </row>
    <row r="11" spans="1:34" x14ac:dyDescent="0.3">
      <c r="B11">
        <f t="shared" si="1"/>
        <v>2900</v>
      </c>
      <c r="C11">
        <f t="shared" si="2"/>
        <v>3099</v>
      </c>
      <c r="D11" s="4" t="str">
        <f t="shared" si="0"/>
        <v>2900 - 3099</v>
      </c>
      <c r="E11" t="s">
        <v>456</v>
      </c>
      <c r="F11" t="s">
        <v>1339</v>
      </c>
      <c r="G11" s="11">
        <f>SUM(G4:G6)</f>
        <v>3198.5</v>
      </c>
      <c r="J11">
        <v>11</v>
      </c>
      <c r="K11" s="2">
        <f>K32*$G$8+K114</f>
        <v>17576.069828000003</v>
      </c>
      <c r="M11" t="s">
        <v>1179</v>
      </c>
      <c r="O11" t="s">
        <v>458</v>
      </c>
      <c r="U11">
        <v>10</v>
      </c>
      <c r="V11">
        <v>3500</v>
      </c>
      <c r="Z11" s="8">
        <v>5</v>
      </c>
      <c r="AD11" s="36" t="s">
        <v>459</v>
      </c>
      <c r="AG11" t="s">
        <v>460</v>
      </c>
      <c r="AH11" s="13">
        <v>0</v>
      </c>
    </row>
    <row r="12" spans="1:34" x14ac:dyDescent="0.3">
      <c r="B12">
        <f t="shared" si="1"/>
        <v>3100</v>
      </c>
      <c r="C12">
        <f t="shared" si="2"/>
        <v>3299</v>
      </c>
      <c r="D12" s="4" t="str">
        <f t="shared" si="0"/>
        <v>3100 - 3299</v>
      </c>
      <c r="F12" t="s">
        <v>1335</v>
      </c>
      <c r="G12" s="11">
        <f>G4+G5+G7</f>
        <v>2299</v>
      </c>
      <c r="J12">
        <v>12</v>
      </c>
      <c r="K12" s="2">
        <f>K33*$G$8+K115</f>
        <v>19249.880584240003</v>
      </c>
      <c r="M12" s="16">
        <f>IF('Attributes Inputs and Outputs'!E8='Defaults and Ranges'!G24, 0,'Attributes Inputs and Outputs'!K8*M6)</f>
        <v>1346.756102640712</v>
      </c>
      <c r="O12">
        <f>IF('Attributes Inputs and Outputs'!J8=1, 0, 'Attributes Back Calcs'!O7/2)</f>
        <v>125</v>
      </c>
      <c r="U12">
        <v>11</v>
      </c>
      <c r="V12">
        <v>3800</v>
      </c>
      <c r="Z12" t="s">
        <v>312</v>
      </c>
      <c r="AD12" s="36">
        <v>2200</v>
      </c>
      <c r="AG12" t="s">
        <v>1297</v>
      </c>
      <c r="AH12" s="17">
        <v>0.05</v>
      </c>
    </row>
    <row r="13" spans="1:34" x14ac:dyDescent="0.3">
      <c r="B13">
        <f t="shared" si="1"/>
        <v>3300</v>
      </c>
      <c r="C13">
        <f t="shared" si="2"/>
        <v>3499</v>
      </c>
      <c r="D13" s="4" t="str">
        <f t="shared" si="0"/>
        <v>3300 - 3499</v>
      </c>
      <c r="F13" t="s">
        <v>1336</v>
      </c>
      <c r="G13" s="11">
        <f>IF(G7=0, 0, G7-150-50-100)</f>
        <v>0</v>
      </c>
      <c r="K13" s="8"/>
      <c r="M13" t="s">
        <v>1124</v>
      </c>
      <c r="U13">
        <v>12</v>
      </c>
      <c r="V13">
        <v>4000</v>
      </c>
      <c r="Z13" s="8" t="s">
        <v>461</v>
      </c>
      <c r="AA13" s="8" t="s">
        <v>461</v>
      </c>
      <c r="AC13" s="10"/>
      <c r="AD13" s="36" t="s">
        <v>462</v>
      </c>
      <c r="AE13" s="9"/>
    </row>
    <row r="14" spans="1:34" x14ac:dyDescent="0.3">
      <c r="B14">
        <f t="shared" si="1"/>
        <v>3500</v>
      </c>
      <c r="C14">
        <f t="shared" si="2"/>
        <v>3699</v>
      </c>
      <c r="D14" s="4" t="str">
        <f t="shared" si="0"/>
        <v>3500 - 3699</v>
      </c>
      <c r="F14" t="s">
        <v>1331</v>
      </c>
      <c r="G14" s="11">
        <f>IF('Attributes Inputs and Outputs'!J8=2, G10-G15, 0)</f>
        <v>1399.5</v>
      </c>
      <c r="I14" t="s">
        <v>457</v>
      </c>
      <c r="J14">
        <v>8</v>
      </c>
      <c r="K14" s="2">
        <f>K35*G$7+IF('Attributes Inputs and Outputs'!$E$8='Defaults and Ranges'!$G$26, SUM(K127),0)</f>
        <v>0</v>
      </c>
      <c r="M14" s="10">
        <f>M10*M16</f>
        <v>10474.769687205539</v>
      </c>
      <c r="O14" t="s">
        <v>463</v>
      </c>
      <c r="Z14" s="11">
        <f>(G5+G9)/Inputs!$C$14</f>
        <v>110.1968503937008</v>
      </c>
      <c r="AA14" s="11">
        <f>G4/Inputs!$C$14</f>
        <v>110.1968503937008</v>
      </c>
      <c r="AD14" s="36">
        <v>14000</v>
      </c>
      <c r="AH14" s="14"/>
    </row>
    <row r="15" spans="1:34" x14ac:dyDescent="0.3">
      <c r="B15">
        <f t="shared" si="1"/>
        <v>3700</v>
      </c>
      <c r="C15">
        <f t="shared" si="2"/>
        <v>3899</v>
      </c>
      <c r="D15" s="5" t="str">
        <f t="shared" si="0"/>
        <v>3700 - 3899</v>
      </c>
      <c r="E15" t="s">
        <v>464</v>
      </c>
      <c r="F15" t="s">
        <v>1330</v>
      </c>
      <c r="G15" s="11">
        <f>IF('Attributes Inputs and Outputs'!J8=2, IF(NOT('Attributes Inputs and Outputs'!S8='Defaults and Ranges'!W27),('Attributes Calculations'!E16-'Attributes Back Calcs'!G9*'Attributes Inputs and Outputs'!U10)/(1+'Attributes Inputs and Outputs'!U10), 'Attributes Calculations'!E16/(1+'Attributes Inputs and Outputs'!U10) ), 'Attributes Calculations'!E16)</f>
        <v>899.5</v>
      </c>
      <c r="I15" t="s">
        <v>441</v>
      </c>
      <c r="J15">
        <v>9</v>
      </c>
      <c r="K15" s="2">
        <f>K36*G$7+IF('Attributes Inputs and Outputs'!$E$8='Defaults and Ranges'!$G$26, SUM(K128),0)</f>
        <v>0</v>
      </c>
      <c r="M15" s="10" t="s">
        <v>1442</v>
      </c>
      <c r="O15" s="13">
        <v>1000</v>
      </c>
      <c r="U15" t="s">
        <v>465</v>
      </c>
      <c r="V15" s="11">
        <f>V18-V16</f>
        <v>1399.5</v>
      </c>
      <c r="AC15" s="10"/>
      <c r="AD15" s="36" t="s">
        <v>466</v>
      </c>
      <c r="AH15" s="17"/>
    </row>
    <row r="16" spans="1:34" x14ac:dyDescent="0.3">
      <c r="B16">
        <f t="shared" si="1"/>
        <v>3900</v>
      </c>
      <c r="C16">
        <f t="shared" si="2"/>
        <v>4099</v>
      </c>
      <c r="D16" s="5" t="str">
        <f t="shared" si="0"/>
        <v>3900 - 4099</v>
      </c>
      <c r="F16" t="s">
        <v>1337</v>
      </c>
      <c r="G16" s="11">
        <f>IF(IF(NOT('Attributes Inputs and Outputs'!S8='Defaults and Ranges'!W27 ), G15, G15-G9)*(IF('Attributes Inputs and Outputs'!E8='Defaults and Ranges'!G24, 0, 1))&lt;0, 0, IF(NOT('Attributes Inputs and Outputs'!S8='Defaults and Ranges'!W27 ), G15, G15-G9)*(IF('Attributes Inputs and Outputs'!E8='Defaults and Ranges'!G24, 0, 1)))</f>
        <v>899.5</v>
      </c>
      <c r="J16">
        <v>10</v>
      </c>
      <c r="K16" s="2">
        <f>K37*G$7+IF('Attributes Inputs and Outputs'!$E$8='Defaults and Ranges'!$G$26, SUM(K129),0)</f>
        <v>0</v>
      </c>
      <c r="M16" s="14">
        <v>3.5</v>
      </c>
      <c r="O16" t="s">
        <v>467</v>
      </c>
      <c r="U16" t="s">
        <v>468</v>
      </c>
      <c r="V16" s="11">
        <f>(LOOKUP('Attributes Inputs and Outputs'!D8, 'Defaults and Ranges'!F24:F47, 'Defaults and Ranges'!E24:E47)+'Attributes Calculations'!T14)/2</f>
        <v>1399.5</v>
      </c>
      <c r="Z16" s="13"/>
      <c r="AD16" s="36">
        <v>2500</v>
      </c>
    </row>
    <row r="17" spans="2:30" x14ac:dyDescent="0.3">
      <c r="B17">
        <f t="shared" si="1"/>
        <v>4100</v>
      </c>
      <c r="C17">
        <f t="shared" si="2"/>
        <v>4299</v>
      </c>
      <c r="D17" s="5" t="str">
        <f t="shared" si="0"/>
        <v>4100 - 4299</v>
      </c>
      <c r="F17" t="s">
        <v>1338</v>
      </c>
      <c r="G17" s="11">
        <f>IF(AND('Attributes Inputs and Outputs'!E8='Defaults and Ranges'!G26, G16&gt;0), 1, 0)*IF('Attributes Inputs and Outputs'!J8=1, 'Attributes Back Calcs'!G15/2, 'Attributes Back Calcs'!G15-IF('Attributes Inputs and Outputs'!S8='Defaults and Ranges'!W27, G9, 0))</f>
        <v>0</v>
      </c>
      <c r="J17">
        <v>11</v>
      </c>
      <c r="K17" s="2">
        <f>K38*G$7+IF('Attributes Inputs and Outputs'!$E$8='Defaults and Ranges'!$G$26, SUM(K130),0)</f>
        <v>0</v>
      </c>
      <c r="O17" s="13">
        <v>5</v>
      </c>
      <c r="U17" t="s">
        <v>470</v>
      </c>
      <c r="V17">
        <f>'Attributes Calculations'!T14</f>
        <v>500</v>
      </c>
      <c r="AB17" s="13"/>
      <c r="AD17" s="36" t="s">
        <v>471</v>
      </c>
    </row>
    <row r="18" spans="2:30" x14ac:dyDescent="0.3">
      <c r="B18">
        <f t="shared" si="1"/>
        <v>4300</v>
      </c>
      <c r="C18">
        <f t="shared" si="2"/>
        <v>4499</v>
      </c>
      <c r="D18" s="5" t="str">
        <f t="shared" si="0"/>
        <v>4300 - 4499</v>
      </c>
      <c r="F18" t="s">
        <v>1338</v>
      </c>
      <c r="G18" s="11">
        <f>G17</f>
        <v>0</v>
      </c>
      <c r="J18">
        <v>12</v>
      </c>
      <c r="K18" s="2">
        <f>K39*G$7+IF('Attributes Inputs and Outputs'!$E$8='Defaults and Ranges'!$G$26, SUM(K131),0)</f>
        <v>0</v>
      </c>
      <c r="U18" t="s">
        <v>472</v>
      </c>
      <c r="V18">
        <f>LOOKUP('Attributes Inputs and Outputs'!D8, 'Defaults and Ranges'!F24:F47, 'Defaults and Ranges'!E24:E47) + 'Attributes Calculations'!T14</f>
        <v>2799</v>
      </c>
      <c r="AC18" s="9"/>
      <c r="AD18" s="36">
        <v>800</v>
      </c>
    </row>
    <row r="19" spans="2:30" x14ac:dyDescent="0.3">
      <c r="B19">
        <f t="shared" si="1"/>
        <v>4500</v>
      </c>
      <c r="C19">
        <f t="shared" si="2"/>
        <v>4699</v>
      </c>
      <c r="D19" s="6" t="str">
        <f t="shared" si="0"/>
        <v>4500 - 4699</v>
      </c>
      <c r="E19" t="s">
        <v>473</v>
      </c>
      <c r="F19" t="s">
        <v>1294</v>
      </c>
      <c r="G19" s="11">
        <f>IF(G17=0, 0, G17-150-50-100)</f>
        <v>0</v>
      </c>
      <c r="K19" s="10"/>
      <c r="M19" t="s">
        <v>1123</v>
      </c>
      <c r="O19" t="s">
        <v>474</v>
      </c>
      <c r="P19" t="s">
        <v>475</v>
      </c>
      <c r="Q19" t="s">
        <v>476</v>
      </c>
      <c r="AD19" s="36" t="s">
        <v>477</v>
      </c>
    </row>
    <row r="20" spans="2:30" x14ac:dyDescent="0.3">
      <c r="B20">
        <f t="shared" si="1"/>
        <v>4700</v>
      </c>
      <c r="C20">
        <f t="shared" si="2"/>
        <v>4899</v>
      </c>
      <c r="D20" s="6" t="str">
        <f t="shared" si="0"/>
        <v>4700 - 4899</v>
      </c>
      <c r="F20" t="s">
        <v>1341</v>
      </c>
      <c r="G20" s="11">
        <f>SUM(G14:G16)</f>
        <v>3198.5</v>
      </c>
      <c r="I20" t="s">
        <v>469</v>
      </c>
      <c r="J20">
        <v>8</v>
      </c>
      <c r="K20" s="10">
        <f>SUM(K8,K14)</f>
        <v>13492.75</v>
      </c>
      <c r="M20" s="13">
        <f>M22*M24</f>
        <v>34716.379534738357</v>
      </c>
      <c r="O20">
        <f>O30*1.9</f>
        <v>7030</v>
      </c>
      <c r="P20">
        <v>8</v>
      </c>
      <c r="Q20">
        <v>4</v>
      </c>
      <c r="V20" s="2"/>
      <c r="AD20" s="38">
        <f>('Attributes Back Calcs'!AD10+'Attributes Back Calcs'!AD12+'Attributes Back Calcs'!AD14+'Attributes Back Calcs'!AD16+ 'Attributes Back Calcs'!AD18)/2700</f>
        <v>10.555555555555555</v>
      </c>
    </row>
    <row r="21" spans="2:30" x14ac:dyDescent="0.3">
      <c r="B21">
        <f t="shared" si="1"/>
        <v>4900</v>
      </c>
      <c r="C21">
        <f t="shared" si="2"/>
        <v>5099</v>
      </c>
      <c r="D21" s="6" t="str">
        <f t="shared" si="0"/>
        <v>4900 - 5099</v>
      </c>
      <c r="F21" t="s">
        <v>1335</v>
      </c>
      <c r="G21" s="11">
        <f>G14+G15+G17</f>
        <v>2299</v>
      </c>
      <c r="I21" t="s">
        <v>441</v>
      </c>
      <c r="J21">
        <v>9</v>
      </c>
      <c r="K21" s="10">
        <f>SUM(K9,K15)</f>
        <v>14716.070000000002</v>
      </c>
      <c r="M21" t="s">
        <v>1180</v>
      </c>
      <c r="O21">
        <f>O31*1.9</f>
        <v>7980</v>
      </c>
      <c r="P21">
        <v>9</v>
      </c>
      <c r="Q21">
        <v>4</v>
      </c>
      <c r="V21" s="13"/>
    </row>
    <row r="22" spans="2:30" x14ac:dyDescent="0.3">
      <c r="B22">
        <f t="shared" ref="B22:B27" si="3">B21+500</f>
        <v>5400</v>
      </c>
      <c r="C22">
        <f>B22+499</f>
        <v>5899</v>
      </c>
      <c r="D22" s="6" t="str">
        <f t="shared" si="0"/>
        <v>5400 - 5899</v>
      </c>
      <c r="J22">
        <v>10</v>
      </c>
      <c r="K22" s="10">
        <f>SUM(K10,K16)</f>
        <v>16071.436600000001</v>
      </c>
      <c r="M22" s="11">
        <f>M10+M12</f>
        <v>4339.5474418422946</v>
      </c>
      <c r="O22">
        <f>O32*1.9</f>
        <v>8930</v>
      </c>
      <c r="P22">
        <v>10</v>
      </c>
      <c r="Q22">
        <v>4</v>
      </c>
      <c r="U22" t="s">
        <v>478</v>
      </c>
      <c r="V22" s="15">
        <v>18</v>
      </c>
      <c r="W22" s="16">
        <v>8</v>
      </c>
    </row>
    <row r="23" spans="2:30" x14ac:dyDescent="0.3">
      <c r="B23">
        <f t="shared" si="3"/>
        <v>5900</v>
      </c>
      <c r="C23">
        <f>C22+500</f>
        <v>6399</v>
      </c>
      <c r="D23" s="6" t="str">
        <f t="shared" si="0"/>
        <v>5900 - 6399</v>
      </c>
      <c r="J23">
        <v>11</v>
      </c>
      <c r="K23" s="10">
        <f>SUM(K11,K17)</f>
        <v>17576.069828000003</v>
      </c>
      <c r="M23" t="s">
        <v>1122</v>
      </c>
      <c r="O23">
        <f>O33*1.9</f>
        <v>9880</v>
      </c>
      <c r="P23">
        <v>11</v>
      </c>
      <c r="Q23">
        <v>4</v>
      </c>
      <c r="U23" t="s">
        <v>479</v>
      </c>
      <c r="V23" s="14">
        <f>V22*(1+Inputs!$C$6)</f>
        <v>19.440000000000001</v>
      </c>
      <c r="W23" s="16">
        <v>9</v>
      </c>
      <c r="Y23" s="14"/>
      <c r="AB23" s="13"/>
    </row>
    <row r="24" spans="2:30" x14ac:dyDescent="0.3">
      <c r="B24">
        <f t="shared" si="3"/>
        <v>6400</v>
      </c>
      <c r="C24">
        <f>C23+500</f>
        <v>6899</v>
      </c>
      <c r="D24" s="6" t="str">
        <f t="shared" si="0"/>
        <v>6400 - 6899</v>
      </c>
      <c r="J24">
        <v>12</v>
      </c>
      <c r="K24" s="10">
        <f>SUM(K12,K18)</f>
        <v>19249.880584240003</v>
      </c>
      <c r="M24" s="13">
        <v>8</v>
      </c>
      <c r="O24">
        <f>O34*1.9</f>
        <v>10830</v>
      </c>
      <c r="P24">
        <v>12</v>
      </c>
      <c r="Q24">
        <v>4</v>
      </c>
      <c r="U24" t="s">
        <v>480</v>
      </c>
      <c r="V24" s="14">
        <f>V23*(1+Inputs!$C$6)</f>
        <v>20.995200000000004</v>
      </c>
      <c r="W24" s="16">
        <v>10</v>
      </c>
    </row>
    <row r="25" spans="2:30" x14ac:dyDescent="0.3">
      <c r="B25">
        <f t="shared" si="3"/>
        <v>6900</v>
      </c>
      <c r="C25">
        <f>C24+500</f>
        <v>7399</v>
      </c>
      <c r="D25" s="6" t="str">
        <f t="shared" si="0"/>
        <v>6900 - 7399</v>
      </c>
      <c r="K25" s="9"/>
      <c r="O25">
        <f>O30*1.4</f>
        <v>5180</v>
      </c>
      <c r="P25">
        <v>8</v>
      </c>
      <c r="Q25">
        <v>3</v>
      </c>
      <c r="U25" t="s">
        <v>481</v>
      </c>
      <c r="V25" s="14">
        <f>V24*(1+Inputs!$C$6)</f>
        <v>22.674816000000007</v>
      </c>
      <c r="W25" s="16">
        <v>11</v>
      </c>
    </row>
    <row r="26" spans="2:30" x14ac:dyDescent="0.3">
      <c r="B26">
        <f t="shared" si="3"/>
        <v>7400</v>
      </c>
      <c r="C26">
        <f>C25+500</f>
        <v>7899</v>
      </c>
      <c r="D26" s="6" t="str">
        <f t="shared" si="0"/>
        <v>7400 - 7899</v>
      </c>
      <c r="O26">
        <f>O31*1.4</f>
        <v>5880</v>
      </c>
      <c r="P26">
        <v>9</v>
      </c>
      <c r="Q26">
        <v>3</v>
      </c>
      <c r="U26" t="s">
        <v>483</v>
      </c>
      <c r="V26" s="14">
        <f>V25*(1+Inputs!$C$6)</f>
        <v>24.488801280000008</v>
      </c>
      <c r="W26" s="16">
        <v>12</v>
      </c>
    </row>
    <row r="27" spans="2:30" x14ac:dyDescent="0.3">
      <c r="B27">
        <f t="shared" si="3"/>
        <v>7900</v>
      </c>
      <c r="C27">
        <f>C26+500</f>
        <v>8399</v>
      </c>
      <c r="D27" s="6" t="str">
        <f t="shared" si="0"/>
        <v>7900 - 8399</v>
      </c>
      <c r="K27" s="9"/>
      <c r="O27">
        <f>O32*1.4</f>
        <v>6580</v>
      </c>
      <c r="P27">
        <v>10</v>
      </c>
      <c r="Q27">
        <v>3</v>
      </c>
      <c r="U27" t="s">
        <v>484</v>
      </c>
      <c r="V27" s="11">
        <f>'Attributes Calculations'!E16/2+'Attributes Calculations'!T14/2</f>
        <v>1399.5</v>
      </c>
      <c r="AB27" s="13"/>
    </row>
    <row r="28" spans="2:30" x14ac:dyDescent="0.3">
      <c r="M28" t="s">
        <v>1125</v>
      </c>
      <c r="O28">
        <f>O33*1.4</f>
        <v>7279.9999999999991</v>
      </c>
      <c r="P28">
        <v>11</v>
      </c>
      <c r="Q28">
        <v>3</v>
      </c>
      <c r="U28" t="s">
        <v>1113</v>
      </c>
      <c r="V28" s="13">
        <f>IF('Attributes Inputs and Outputs'!E8="No",'Attributes Back Calcs'!V22*'Attributes Back Calcs'!V27*(1-Inputs!C3),V27*LOOKUP('Attributes Inputs and Outputs'!K8,'Attributes Back Calcs'!W22:W26,'Attributes Back Calcs'!V22:V26))</f>
        <v>27206.280000000002</v>
      </c>
      <c r="X28" s="10"/>
    </row>
    <row r="29" spans="2:30" x14ac:dyDescent="0.3">
      <c r="I29" t="s">
        <v>482</v>
      </c>
      <c r="J29">
        <v>8</v>
      </c>
      <c r="K29" s="8">
        <f>SUM(K52,K61,K104)</f>
        <v>14.5</v>
      </c>
      <c r="M29">
        <f>M33*M35*M37</f>
        <v>3000</v>
      </c>
      <c r="O29">
        <f>O34*1.4</f>
        <v>7979.9999999999991</v>
      </c>
      <c r="P29">
        <v>12</v>
      </c>
      <c r="Q29">
        <v>3</v>
      </c>
      <c r="U29" t="s">
        <v>1114</v>
      </c>
      <c r="V29" s="13">
        <f>V28*(1+Inputs!$C$4)</f>
        <v>51691.932000000001</v>
      </c>
      <c r="W29" s="13"/>
      <c r="X29" s="10"/>
    </row>
    <row r="30" spans="2:30" x14ac:dyDescent="0.3">
      <c r="J30">
        <v>9</v>
      </c>
      <c r="K30" s="8">
        <f>SUM(K53,K62,K105)</f>
        <v>15.860000000000001</v>
      </c>
      <c r="M30" t="s">
        <v>1131</v>
      </c>
      <c r="O30">
        <v>3700</v>
      </c>
      <c r="P30">
        <v>8</v>
      </c>
      <c r="Q30">
        <v>2</v>
      </c>
      <c r="U30" t="s">
        <v>1270</v>
      </c>
      <c r="V30" s="13">
        <f>V27*LOOKUP('Attributes Inputs and Outputs'!K8,'Attributes Back Calcs'!W22:W26,'Attributes Back Calcs'!V22:V26)</f>
        <v>27206.280000000002</v>
      </c>
    </row>
    <row r="31" spans="2:30" x14ac:dyDescent="0.3">
      <c r="J31">
        <v>10</v>
      </c>
      <c r="K31" s="8">
        <f>SUM(K54,K63,K106)</f>
        <v>17.366800000000001</v>
      </c>
      <c r="M31">
        <f>M29/27</f>
        <v>111.11111111111111</v>
      </c>
      <c r="O31">
        <v>4200</v>
      </c>
      <c r="P31">
        <v>9</v>
      </c>
      <c r="Q31">
        <v>2</v>
      </c>
      <c r="U31" t="s">
        <v>1271</v>
      </c>
      <c r="V31" s="13">
        <f>V30*(1+Inputs!$C$4)</f>
        <v>51691.932000000001</v>
      </c>
      <c r="W31" s="13"/>
      <c r="AB31" s="13"/>
    </row>
    <row r="32" spans="2:30" x14ac:dyDescent="0.3">
      <c r="J32">
        <v>11</v>
      </c>
      <c r="K32" s="8">
        <f>SUM(K55,K64,K107)</f>
        <v>19.039544000000003</v>
      </c>
      <c r="M32" t="s">
        <v>1126</v>
      </c>
      <c r="O32">
        <v>4700</v>
      </c>
      <c r="P32">
        <v>10</v>
      </c>
      <c r="Q32">
        <v>2</v>
      </c>
    </row>
    <row r="33" spans="9:22" x14ac:dyDescent="0.3">
      <c r="J33">
        <v>12</v>
      </c>
      <c r="K33" s="8">
        <f>SUM(K56,K65,K108)</f>
        <v>20.900367520000003</v>
      </c>
      <c r="M33">
        <v>200</v>
      </c>
      <c r="O33">
        <v>5200</v>
      </c>
      <c r="P33">
        <v>11</v>
      </c>
      <c r="Q33">
        <v>2</v>
      </c>
    </row>
    <row r="34" spans="9:22" x14ac:dyDescent="0.3">
      <c r="K34" s="8"/>
      <c r="M34" t="s">
        <v>1127</v>
      </c>
      <c r="O34">
        <v>5700</v>
      </c>
      <c r="P34">
        <v>12</v>
      </c>
      <c r="Q34">
        <v>2</v>
      </c>
      <c r="U34" t="s">
        <v>904</v>
      </c>
      <c r="V34" s="11">
        <f>('Attributes Calculations'!E16-'Attributes Back Calcs'!G9)/2</f>
        <v>899.5</v>
      </c>
    </row>
    <row r="35" spans="9:22" x14ac:dyDescent="0.3">
      <c r="I35" t="s">
        <v>485</v>
      </c>
      <c r="J35">
        <v>8</v>
      </c>
      <c r="K35" s="8">
        <f>SUM(K$68,K76,K85,K$92,K95,K120, K138, K$145)</f>
        <v>15.4125</v>
      </c>
      <c r="M35">
        <v>30</v>
      </c>
      <c r="O35">
        <f>O30*0.7</f>
        <v>2590</v>
      </c>
      <c r="P35">
        <v>8</v>
      </c>
      <c r="Q35">
        <v>1</v>
      </c>
      <c r="U35" t="s">
        <v>898</v>
      </c>
      <c r="V35" s="2">
        <f>V34*LOOKUP('Attributes Inputs and Outputs'!$K$8, 'Attributes Back Calcs'!$J$35:$J$39, 'Attributes Back Calcs'!$K$35:$K$39)</f>
        <v>14873.2325</v>
      </c>
    </row>
    <row r="36" spans="9:22" x14ac:dyDescent="0.3">
      <c r="J36">
        <v>9</v>
      </c>
      <c r="K36" s="8">
        <f>SUM(K$68,K77,K86,K$92,K96,K121, K139, K$145)</f>
        <v>16.535</v>
      </c>
      <c r="M36" t="s">
        <v>1128</v>
      </c>
      <c r="O36">
        <f>O31*0.7</f>
        <v>2940</v>
      </c>
      <c r="P36">
        <v>9</v>
      </c>
      <c r="Q36">
        <v>1</v>
      </c>
      <c r="U36" t="s">
        <v>897</v>
      </c>
      <c r="V36" s="11">
        <f>('Attributes Calculations'!E16)</f>
        <v>2299</v>
      </c>
    </row>
    <row r="37" spans="9:22" x14ac:dyDescent="0.3">
      <c r="J37">
        <v>10</v>
      </c>
      <c r="K37" s="8">
        <f>SUM(K$68,K78,K87,K$92,K97,K122, K140, K$145)</f>
        <v>17.739899999999999</v>
      </c>
      <c r="M37">
        <v>0.5</v>
      </c>
      <c r="O37">
        <f>O32*0.7</f>
        <v>3290</v>
      </c>
      <c r="P37">
        <v>10</v>
      </c>
      <c r="Q37">
        <v>1</v>
      </c>
      <c r="U37" t="s">
        <v>899</v>
      </c>
      <c r="V37" s="2">
        <f>V36*LOOKUP('Attributes Inputs and Outputs'!$K$8, 'Attributes Back Calcs'!$J$35:$J$39, 'Attributes Back Calcs'!$K$35:$K$39)</f>
        <v>38013.965000000004</v>
      </c>
    </row>
    <row r="38" spans="9:22" x14ac:dyDescent="0.3">
      <c r="J38">
        <v>11</v>
      </c>
      <c r="K38" s="8">
        <f>SUM(K$68,K79,K88,K$92,K98,K123, K141, K$145)</f>
        <v>19.434803500000001</v>
      </c>
      <c r="M38" t="s">
        <v>1129</v>
      </c>
      <c r="O38">
        <f>O33*0.7</f>
        <v>3639.9999999999995</v>
      </c>
      <c r="P38">
        <v>11</v>
      </c>
      <c r="Q38">
        <v>1</v>
      </c>
    </row>
    <row r="39" spans="9:22" x14ac:dyDescent="0.3">
      <c r="J39">
        <v>12</v>
      </c>
      <c r="K39" s="8">
        <f>SUM(K$68,K80,K89,K$92,K99,K124, K142, K$145)</f>
        <v>21.028029565000004</v>
      </c>
      <c r="M39" s="13">
        <v>125</v>
      </c>
      <c r="O39">
        <f>O34*0.7</f>
        <v>3989.9999999999995</v>
      </c>
      <c r="P39">
        <v>12</v>
      </c>
      <c r="Q39">
        <v>1</v>
      </c>
      <c r="U39" t="s">
        <v>777</v>
      </c>
      <c r="V39" s="18">
        <f>6000/(4700+730)</f>
        <v>1.1049723756906078</v>
      </c>
    </row>
    <row r="40" spans="9:22" x14ac:dyDescent="0.3">
      <c r="M40" t="s">
        <v>1130</v>
      </c>
      <c r="U40" t="s">
        <v>778</v>
      </c>
      <c r="V40" s="18">
        <f>6000/(4700+730)</f>
        <v>1.1049723756906078</v>
      </c>
    </row>
    <row r="41" spans="9:22" x14ac:dyDescent="0.3">
      <c r="I41" t="s">
        <v>486</v>
      </c>
      <c r="J41">
        <v>8</v>
      </c>
      <c r="K41" s="9">
        <f>K29+K35</f>
        <v>29.912500000000001</v>
      </c>
      <c r="M41" s="14">
        <f>M39*M31</f>
        <v>13888.888888888889</v>
      </c>
      <c r="U41" t="s">
        <v>779</v>
      </c>
      <c r="V41" s="18">
        <f>V39+V40</f>
        <v>2.2099447513812156</v>
      </c>
    </row>
    <row r="42" spans="9:22" x14ac:dyDescent="0.3">
      <c r="J42">
        <v>9</v>
      </c>
      <c r="K42" s="9">
        <f>K30+K36</f>
        <v>32.395000000000003</v>
      </c>
      <c r="M42" t="s">
        <v>1132</v>
      </c>
      <c r="O42" t="s">
        <v>902</v>
      </c>
      <c r="P42" t="s">
        <v>487</v>
      </c>
      <c r="Q42" t="s">
        <v>488</v>
      </c>
      <c r="R42" t="s">
        <v>476</v>
      </c>
      <c r="S42" t="s">
        <v>365</v>
      </c>
      <c r="T42" t="s">
        <v>903</v>
      </c>
      <c r="U42" t="s">
        <v>780</v>
      </c>
      <c r="V42" s="18">
        <f>V41*0.7</f>
        <v>1.5469613259668509</v>
      </c>
    </row>
    <row r="43" spans="9:22" x14ac:dyDescent="0.3">
      <c r="J43">
        <v>10</v>
      </c>
      <c r="K43" s="9">
        <f>K31+K37</f>
        <v>35.106700000000004</v>
      </c>
      <c r="M43" s="13">
        <v>6</v>
      </c>
      <c r="O43" s="11">
        <f>IF(Q43=1, IF(T43='Defaults and Ranges'!$W$27, 'Attributes Calculations'!$E$16,'Attributes Calculations'!$E$16+S43 ), IF(T43='Defaults and Ranges'!$W$27, 'Attributes Calculations'!$E$16/2,('Attributes Calculations'!$E$16+S43)/2 ) )</f>
        <v>2299</v>
      </c>
      <c r="P43" s="13">
        <f>O43*Inputs!$C$34</f>
        <v>8046.5</v>
      </c>
      <c r="Q43">
        <v>1</v>
      </c>
      <c r="R43">
        <v>0</v>
      </c>
      <c r="S43">
        <f>R43*$O$7</f>
        <v>0</v>
      </c>
      <c r="T43" t="str">
        <f>'Defaults and Ranges'!$W$24</f>
        <v>Front</v>
      </c>
    </row>
    <row r="44" spans="9:22" x14ac:dyDescent="0.3">
      <c r="J44">
        <v>11</v>
      </c>
      <c r="K44" s="9">
        <f>K32+K38</f>
        <v>38.474347500000007</v>
      </c>
      <c r="M44" t="s">
        <v>1133</v>
      </c>
      <c r="O44" s="11">
        <f>IF(Q44=1, IF(T44='Defaults and Ranges'!$W$27, 'Attributes Calculations'!$E$16,'Attributes Calculations'!$E$16+S44 ), IF(T44='Defaults and Ranges'!$W$27, 'Attributes Calculations'!$E$16/2,('Attributes Calculations'!$E$16+S44)/2 ) )</f>
        <v>2549</v>
      </c>
      <c r="P44" s="13">
        <f>O44*Inputs!$C$34</f>
        <v>8921.5</v>
      </c>
      <c r="Q44">
        <v>1</v>
      </c>
      <c r="R44">
        <v>1</v>
      </c>
      <c r="S44">
        <f t="shared" ref="S44:S82" si="4">R44*$O$7</f>
        <v>250</v>
      </c>
      <c r="T44" t="str">
        <f>'Defaults and Ranges'!$W$24</f>
        <v>Front</v>
      </c>
      <c r="U44" s="13"/>
    </row>
    <row r="45" spans="9:22" x14ac:dyDescent="0.3">
      <c r="J45">
        <v>12</v>
      </c>
      <c r="K45" s="9">
        <f>K33+K39</f>
        <v>41.928397085000007</v>
      </c>
      <c r="M45" s="13">
        <f>M29*M43</f>
        <v>18000</v>
      </c>
      <c r="O45" s="11">
        <f>IF(Q45=1, IF(T45='Defaults and Ranges'!$W$27, 'Attributes Calculations'!$E$16,'Attributes Calculations'!$E$16+S45 ), IF(T45='Defaults and Ranges'!$W$27, 'Attributes Calculations'!$E$16/2,('Attributes Calculations'!$E$16+S45)/2 ) )</f>
        <v>2799</v>
      </c>
      <c r="P45" s="13">
        <f>O45*Inputs!$C$34</f>
        <v>9796.5</v>
      </c>
      <c r="Q45">
        <v>1</v>
      </c>
      <c r="R45">
        <v>2</v>
      </c>
      <c r="S45">
        <f t="shared" si="4"/>
        <v>500</v>
      </c>
      <c r="T45" t="str">
        <f>'Defaults and Ranges'!$W$24</f>
        <v>Front</v>
      </c>
      <c r="U45" s="13"/>
    </row>
    <row r="46" spans="9:22" x14ac:dyDescent="0.3">
      <c r="O46" s="11">
        <f>IF(Q46=1, IF(T46='Defaults and Ranges'!$W$27, 'Attributes Calculations'!$E$16,'Attributes Calculations'!$E$16+S46 ), IF(T46='Defaults and Ranges'!$W$27, 'Attributes Calculations'!$E$16/2,('Attributes Calculations'!$E$16+S46)/2 ) )</f>
        <v>3049</v>
      </c>
      <c r="P46" s="13">
        <f>O46*Inputs!$C$34</f>
        <v>10671.5</v>
      </c>
      <c r="Q46">
        <v>1</v>
      </c>
      <c r="R46">
        <v>3</v>
      </c>
      <c r="S46">
        <f t="shared" si="4"/>
        <v>750</v>
      </c>
      <c r="T46" t="str">
        <f>'Defaults and Ranges'!$W$24</f>
        <v>Front</v>
      </c>
      <c r="U46" s="13"/>
    </row>
    <row r="47" spans="9:22" x14ac:dyDescent="0.3">
      <c r="O47" s="11">
        <f>IF(Q47=1, IF(T47='Defaults and Ranges'!$W$27, 'Attributes Calculations'!$E$16,'Attributes Calculations'!$E$16+S47 ), IF(T47='Defaults and Ranges'!$W$27, 'Attributes Calculations'!$E$16/2,('Attributes Calculations'!$E$16+S47)/2 ) )</f>
        <v>3299</v>
      </c>
      <c r="P47" s="13">
        <f>O47*Inputs!$C$34</f>
        <v>11546.5</v>
      </c>
      <c r="Q47">
        <v>1</v>
      </c>
      <c r="R47">
        <v>4</v>
      </c>
      <c r="S47">
        <f t="shared" si="4"/>
        <v>1000</v>
      </c>
      <c r="T47" t="str">
        <f>'Defaults and Ranges'!$W$24</f>
        <v>Front</v>
      </c>
      <c r="U47" s="13"/>
    </row>
    <row r="48" spans="9:22" x14ac:dyDescent="0.3">
      <c r="L48" s="9"/>
      <c r="O48" s="11">
        <f>IF(Q48=1, IF(T48='Defaults and Ranges'!$W$27, 'Attributes Calculations'!$E$16,'Attributes Calculations'!$E$16+S48 ), IF(T48='Defaults and Ranges'!$W$27, 'Attributes Calculations'!$E$16/2,('Attributes Calculations'!$E$16+S48)/2 ) )</f>
        <v>1149.5</v>
      </c>
      <c r="P48" s="13">
        <f>O48*Inputs!$C$34</f>
        <v>4023.25</v>
      </c>
      <c r="Q48">
        <v>2</v>
      </c>
      <c r="R48">
        <v>0</v>
      </c>
      <c r="S48">
        <f t="shared" si="4"/>
        <v>0</v>
      </c>
      <c r="T48" t="str">
        <f>'Defaults and Ranges'!$W$24</f>
        <v>Front</v>
      </c>
      <c r="U48" s="13"/>
    </row>
    <row r="49" spans="9:21" x14ac:dyDescent="0.3">
      <c r="K49" s="2"/>
      <c r="L49" s="9"/>
      <c r="O49" s="11">
        <f>IF(Q49=1, IF(T49='Defaults and Ranges'!$W$27, 'Attributes Calculations'!$E$16,'Attributes Calculations'!$E$16+S49 ), IF(T49='Defaults and Ranges'!$W$27, 'Attributes Calculations'!$E$16/2,('Attributes Calculations'!$E$16+S49)/2 ) )</f>
        <v>1274.5</v>
      </c>
      <c r="P49" s="13">
        <f>O49*Inputs!$C$34</f>
        <v>4460.75</v>
      </c>
      <c r="Q49">
        <v>2</v>
      </c>
      <c r="R49">
        <v>1</v>
      </c>
      <c r="S49">
        <f t="shared" si="4"/>
        <v>250</v>
      </c>
      <c r="T49" t="str">
        <f>'Defaults and Ranges'!$W$24</f>
        <v>Front</v>
      </c>
      <c r="U49" s="13"/>
    </row>
    <row r="50" spans="9:21" x14ac:dyDescent="0.3">
      <c r="J50" t="s">
        <v>489</v>
      </c>
      <c r="O50" s="11">
        <f>IF(Q50=1, IF(T50='Defaults and Ranges'!$W$27, 'Attributes Calculations'!$E$16,'Attributes Calculations'!$E$16+S50 ), IF(T50='Defaults and Ranges'!$W$27, 'Attributes Calculations'!$E$16/2,('Attributes Calculations'!$E$16+S50)/2 ) )</f>
        <v>1399.5</v>
      </c>
      <c r="P50" s="13">
        <f>O50*Inputs!$C$34</f>
        <v>4898.25</v>
      </c>
      <c r="Q50">
        <v>2</v>
      </c>
      <c r="R50">
        <v>2</v>
      </c>
      <c r="S50">
        <f t="shared" si="4"/>
        <v>500</v>
      </c>
      <c r="T50" t="str">
        <f>'Defaults and Ranges'!$W$24</f>
        <v>Front</v>
      </c>
      <c r="U50" s="13"/>
    </row>
    <row r="51" spans="9:21" x14ac:dyDescent="0.3">
      <c r="J51" t="s">
        <v>490</v>
      </c>
      <c r="K51" s="8">
        <f>3</f>
        <v>3</v>
      </c>
      <c r="L51" s="9"/>
      <c r="N51" s="13"/>
      <c r="O51" s="11">
        <f>IF(Q51=1, IF(T51='Defaults and Ranges'!$W$27, 'Attributes Calculations'!$E$16,'Attributes Calculations'!$E$16+S51 ), IF(T51='Defaults and Ranges'!$W$27, 'Attributes Calculations'!$E$16/2,('Attributes Calculations'!$E$16+S51)/2 ) )</f>
        <v>1524.5</v>
      </c>
      <c r="P51" s="13">
        <f>O51*Inputs!$C$34</f>
        <v>5335.75</v>
      </c>
      <c r="Q51">
        <v>2</v>
      </c>
      <c r="R51">
        <v>3</v>
      </c>
      <c r="S51">
        <f t="shared" si="4"/>
        <v>750</v>
      </c>
      <c r="T51" t="str">
        <f>'Defaults and Ranges'!$W$24</f>
        <v>Front</v>
      </c>
      <c r="U51" s="13"/>
    </row>
    <row r="52" spans="9:21" x14ac:dyDescent="0.3">
      <c r="I52" t="s">
        <v>491</v>
      </c>
      <c r="J52">
        <v>8</v>
      </c>
      <c r="K52" s="8">
        <v>12</v>
      </c>
      <c r="L52" s="9"/>
      <c r="O52" s="11">
        <f>IF(Q52=1, IF(T52='Defaults and Ranges'!$W$27, 'Attributes Calculations'!$E$16,'Attributes Calculations'!$E$16+S52 ), IF(T52='Defaults and Ranges'!$W$27, 'Attributes Calculations'!$E$16/2,('Attributes Calculations'!$E$16+S52)/2 ) )</f>
        <v>1649.5</v>
      </c>
      <c r="P52" s="13">
        <f>O52*Inputs!$C$34</f>
        <v>5773.25</v>
      </c>
      <c r="Q52">
        <v>2</v>
      </c>
      <c r="R52">
        <v>4</v>
      </c>
      <c r="S52">
        <f t="shared" si="4"/>
        <v>1000</v>
      </c>
      <c r="T52" t="str">
        <f>'Defaults and Ranges'!$W$24</f>
        <v>Front</v>
      </c>
      <c r="U52" s="13"/>
    </row>
    <row r="53" spans="9:21" x14ac:dyDescent="0.3">
      <c r="J53">
        <v>9</v>
      </c>
      <c r="K53" s="8">
        <f>K52*(1+Inputs!$C$6)</f>
        <v>12.96</v>
      </c>
      <c r="N53" s="11"/>
      <c r="O53" s="11">
        <f>IF(Q53=1, IF(T53='Defaults and Ranges'!$W$27, 'Attributes Calculations'!$E$16,'Attributes Calculations'!$E$16+S53 ), IF(T53='Defaults and Ranges'!$W$27, 'Attributes Calculations'!$E$16/2,('Attributes Calculations'!$E$16+S53)/2 ) )</f>
        <v>2299</v>
      </c>
      <c r="P53" s="13">
        <f>O53*Inputs!$C$34</f>
        <v>8046.5</v>
      </c>
      <c r="Q53">
        <v>1</v>
      </c>
      <c r="R53">
        <v>0</v>
      </c>
      <c r="S53">
        <f>R53*$O$7</f>
        <v>0</v>
      </c>
      <c r="T53" t="str">
        <f>'Defaults and Ranges'!$W$25</f>
        <v>Side</v>
      </c>
    </row>
    <row r="54" spans="9:21" x14ac:dyDescent="0.3">
      <c r="J54">
        <v>10</v>
      </c>
      <c r="K54" s="8">
        <f>K53*(1+Inputs!$C$6)</f>
        <v>13.996800000000002</v>
      </c>
      <c r="N54" s="11"/>
      <c r="O54" s="11">
        <f>IF(Q54=1, IF(T54='Defaults and Ranges'!$W$27, 'Attributes Calculations'!$E$16,'Attributes Calculations'!$E$16+S54 ), IF(T54='Defaults and Ranges'!$W$27, 'Attributes Calculations'!$E$16/2,('Attributes Calculations'!$E$16+S54)/2 ) )</f>
        <v>2549</v>
      </c>
      <c r="P54" s="13">
        <f>O54*Inputs!$C$34</f>
        <v>8921.5</v>
      </c>
      <c r="Q54">
        <v>1</v>
      </c>
      <c r="R54">
        <v>1</v>
      </c>
      <c r="S54">
        <f t="shared" si="4"/>
        <v>250</v>
      </c>
      <c r="T54" t="str">
        <f>'Defaults and Ranges'!$W$25</f>
        <v>Side</v>
      </c>
    </row>
    <row r="55" spans="9:21" x14ac:dyDescent="0.3">
      <c r="J55">
        <v>11</v>
      </c>
      <c r="K55" s="8">
        <f>K54*(1+Inputs!$C$6)</f>
        <v>15.116544000000003</v>
      </c>
      <c r="N55" s="11"/>
      <c r="O55" s="11">
        <f>IF(Q55=1, IF(T55='Defaults and Ranges'!$W$27, 'Attributes Calculations'!$E$16,'Attributes Calculations'!$E$16+S55 ), IF(T55='Defaults and Ranges'!$W$27, 'Attributes Calculations'!$E$16/2,('Attributes Calculations'!$E$16+S55)/2 ) )</f>
        <v>2799</v>
      </c>
      <c r="P55" s="13">
        <f>O55*Inputs!$C$34</f>
        <v>9796.5</v>
      </c>
      <c r="Q55">
        <v>1</v>
      </c>
      <c r="R55">
        <v>2</v>
      </c>
      <c r="S55">
        <f t="shared" si="4"/>
        <v>500</v>
      </c>
      <c r="T55" t="str">
        <f>'Defaults and Ranges'!$W$25</f>
        <v>Side</v>
      </c>
    </row>
    <row r="56" spans="9:21" x14ac:dyDescent="0.3">
      <c r="J56">
        <v>12</v>
      </c>
      <c r="K56" s="8">
        <f>K55*(1+Inputs!$C$6)</f>
        <v>16.325867520000003</v>
      </c>
      <c r="N56" s="11"/>
      <c r="O56" s="11">
        <f>IF(Q56=1, IF(T56='Defaults and Ranges'!$W$27, 'Attributes Calculations'!$E$16,'Attributes Calculations'!$E$16+S56 ), IF(T56='Defaults and Ranges'!$W$27, 'Attributes Calculations'!$E$16/2,('Attributes Calculations'!$E$16+S56)/2 ) )</f>
        <v>3049</v>
      </c>
      <c r="P56" s="13">
        <f>O56*Inputs!$C$34</f>
        <v>10671.5</v>
      </c>
      <c r="Q56">
        <v>1</v>
      </c>
      <c r="R56">
        <v>3</v>
      </c>
      <c r="S56">
        <f t="shared" si="4"/>
        <v>750</v>
      </c>
      <c r="T56" t="str">
        <f>'Defaults and Ranges'!$W$25</f>
        <v>Side</v>
      </c>
    </row>
    <row r="57" spans="9:21" x14ac:dyDescent="0.3">
      <c r="N57" s="11"/>
      <c r="O57" s="11">
        <f>IF(Q57=1, IF(T57='Defaults and Ranges'!$W$27, 'Attributes Calculations'!$E$16,'Attributes Calculations'!$E$16+S57 ), IF(T57='Defaults and Ranges'!$W$27, 'Attributes Calculations'!$E$16/2,('Attributes Calculations'!$E$16+S57)/2 ) )</f>
        <v>3299</v>
      </c>
      <c r="P57" s="13">
        <f>O57*Inputs!$C$34</f>
        <v>11546.5</v>
      </c>
      <c r="Q57">
        <v>1</v>
      </c>
      <c r="R57">
        <v>4</v>
      </c>
      <c r="S57">
        <f t="shared" si="4"/>
        <v>1000</v>
      </c>
      <c r="T57" t="str">
        <f>'Defaults and Ranges'!$W$25</f>
        <v>Side</v>
      </c>
    </row>
    <row r="58" spans="9:21" x14ac:dyDescent="0.3">
      <c r="J58" t="s">
        <v>89</v>
      </c>
      <c r="N58" s="11"/>
      <c r="O58" s="11">
        <f>IF(Q58=1, IF(T58='Defaults and Ranges'!$W$27, 'Attributes Calculations'!$E$16,'Attributes Calculations'!$E$16+S58 ), IF(T58='Defaults and Ranges'!$W$27, 'Attributes Calculations'!$E$16/2,('Attributes Calculations'!$E$16+S58)/2 ) )</f>
        <v>1149.5</v>
      </c>
      <c r="P58" s="13">
        <f>O58*Inputs!$C$34</f>
        <v>4023.25</v>
      </c>
      <c r="Q58">
        <v>2</v>
      </c>
      <c r="R58">
        <v>0</v>
      </c>
      <c r="S58">
        <f t="shared" si="4"/>
        <v>0</v>
      </c>
      <c r="T58" t="str">
        <f>'Defaults and Ranges'!$W$25</f>
        <v>Side</v>
      </c>
    </row>
    <row r="59" spans="9:21" x14ac:dyDescent="0.3">
      <c r="J59" t="s">
        <v>493</v>
      </c>
      <c r="K59" s="2">
        <v>300</v>
      </c>
      <c r="N59" s="11"/>
      <c r="O59" s="11">
        <f>IF(Q59=1, IF(T59='Defaults and Ranges'!$W$27, 'Attributes Calculations'!$E$16,'Attributes Calculations'!$E$16+S59 ), IF(T59='Defaults and Ranges'!$W$27, 'Attributes Calculations'!$E$16/2,('Attributes Calculations'!$E$16+S59)/2 ) )</f>
        <v>1274.5</v>
      </c>
      <c r="P59" s="13">
        <f>O59*Inputs!$C$34</f>
        <v>4460.75</v>
      </c>
      <c r="Q59">
        <v>2</v>
      </c>
      <c r="R59">
        <v>1</v>
      </c>
      <c r="S59">
        <f t="shared" si="4"/>
        <v>250</v>
      </c>
      <c r="T59" t="str">
        <f>'Defaults and Ranges'!$W$25</f>
        <v>Side</v>
      </c>
    </row>
    <row r="60" spans="9:21" x14ac:dyDescent="0.3">
      <c r="J60" t="s">
        <v>495</v>
      </c>
      <c r="K60">
        <f>1/200</f>
        <v>5.0000000000000001E-3</v>
      </c>
      <c r="N60" s="11"/>
      <c r="O60" s="11">
        <f>IF(Q60=1, IF(T60='Defaults and Ranges'!$W$27, 'Attributes Calculations'!$E$16,'Attributes Calculations'!$E$16+S60 ), IF(T60='Defaults and Ranges'!$W$27, 'Attributes Calculations'!$E$16/2,('Attributes Calculations'!$E$16+S60)/2 ) )</f>
        <v>1399.5</v>
      </c>
      <c r="P60" s="13">
        <f>O60*Inputs!$C$34</f>
        <v>4898.25</v>
      </c>
      <c r="Q60">
        <v>2</v>
      </c>
      <c r="R60">
        <v>2</v>
      </c>
      <c r="S60">
        <f t="shared" si="4"/>
        <v>500</v>
      </c>
      <c r="T60" t="str">
        <f>'Defaults and Ranges'!$W$25</f>
        <v>Side</v>
      </c>
    </row>
    <row r="61" spans="9:21" x14ac:dyDescent="0.3">
      <c r="I61" t="s">
        <v>491</v>
      </c>
      <c r="J61">
        <v>8</v>
      </c>
      <c r="K61" s="8">
        <f>K59*K60</f>
        <v>1.5</v>
      </c>
      <c r="N61" s="11"/>
      <c r="O61" s="11">
        <f>IF(Q61=1, IF(T61='Defaults and Ranges'!$W$27, 'Attributes Calculations'!$E$16,'Attributes Calculations'!$E$16+S61 ), IF(T61='Defaults and Ranges'!$W$27, 'Attributes Calculations'!$E$16/2,('Attributes Calculations'!$E$16+S61)/2 ) )</f>
        <v>1524.5</v>
      </c>
      <c r="P61" s="13">
        <f>O61*Inputs!$C$34</f>
        <v>5335.75</v>
      </c>
      <c r="Q61">
        <v>2</v>
      </c>
      <c r="R61">
        <v>3</v>
      </c>
      <c r="S61">
        <f t="shared" si="4"/>
        <v>750</v>
      </c>
      <c r="T61" t="str">
        <f>'Defaults and Ranges'!$W$25</f>
        <v>Side</v>
      </c>
    </row>
    <row r="62" spans="9:21" x14ac:dyDescent="0.3">
      <c r="J62">
        <v>9</v>
      </c>
      <c r="K62" s="8">
        <f>K61*(1+Inputs!$C$11)</f>
        <v>1.7999999999999998</v>
      </c>
      <c r="N62" s="11"/>
      <c r="O62" s="11">
        <f>IF(Q62=1, IF(T62='Defaults and Ranges'!$W$27, 'Attributes Calculations'!$E$16,'Attributes Calculations'!$E$16+S62 ), IF(T62='Defaults and Ranges'!$W$27, 'Attributes Calculations'!$E$16/2,('Attributes Calculations'!$E$16+S62)/2 ) )</f>
        <v>1649.5</v>
      </c>
      <c r="P62" s="13">
        <f>O62*Inputs!$C$34</f>
        <v>5773.25</v>
      </c>
      <c r="Q62">
        <v>2</v>
      </c>
      <c r="R62">
        <v>4</v>
      </c>
      <c r="S62">
        <f t="shared" si="4"/>
        <v>1000</v>
      </c>
      <c r="T62" t="str">
        <f>'Defaults and Ranges'!$W$25</f>
        <v>Side</v>
      </c>
    </row>
    <row r="63" spans="9:21" x14ac:dyDescent="0.3">
      <c r="J63">
        <v>10</v>
      </c>
      <c r="K63" s="8">
        <f>K62*(1+Inputs!$C$11)</f>
        <v>2.1599999999999997</v>
      </c>
      <c r="O63" s="11">
        <f>IF(Q63=1, IF(T63='Defaults and Ranges'!$W$27, 'Attributes Calculations'!$E$16,'Attributes Calculations'!$E$16+S63 ), IF(T63='Defaults and Ranges'!$W$27, 'Attributes Calculations'!$E$16/2,('Attributes Calculations'!$E$16+S63)/2 ) )</f>
        <v>2299</v>
      </c>
      <c r="P63" s="13">
        <f>O63*Inputs!$C$34</f>
        <v>8046.5</v>
      </c>
      <c r="Q63">
        <v>1</v>
      </c>
      <c r="R63">
        <v>0</v>
      </c>
      <c r="S63">
        <f>R63*$O$7</f>
        <v>0</v>
      </c>
      <c r="T63" t="str">
        <f>'Defaults and Ranges'!$W$26</f>
        <v>Courtyard</v>
      </c>
    </row>
    <row r="64" spans="9:21" x14ac:dyDescent="0.3">
      <c r="J64">
        <v>11</v>
      </c>
      <c r="K64" s="8">
        <f>K63*(1+Inputs!$C$11)</f>
        <v>2.5919999999999996</v>
      </c>
      <c r="O64" s="11">
        <f>IF(Q64=1, IF(T64='Defaults and Ranges'!$W$27, 'Attributes Calculations'!$E$16,'Attributes Calculations'!$E$16+S64 ), IF(T64='Defaults and Ranges'!$W$27, 'Attributes Calculations'!$E$16/2,('Attributes Calculations'!$E$16+S64)/2 ) )</f>
        <v>2549</v>
      </c>
      <c r="P64" s="13">
        <f>O64*Inputs!$C$34</f>
        <v>8921.5</v>
      </c>
      <c r="Q64">
        <v>1</v>
      </c>
      <c r="R64">
        <v>1</v>
      </c>
      <c r="S64">
        <f t="shared" si="4"/>
        <v>250</v>
      </c>
      <c r="T64" t="str">
        <f>'Defaults and Ranges'!$W$26</f>
        <v>Courtyard</v>
      </c>
    </row>
    <row r="65" spans="9:21" x14ac:dyDescent="0.3">
      <c r="J65">
        <v>12</v>
      </c>
      <c r="K65" s="8">
        <f>K64*(1+Inputs!$C$11)</f>
        <v>3.1103999999999994</v>
      </c>
      <c r="O65" s="11">
        <f>IF(Q65=1, IF(T65='Defaults and Ranges'!$W$27, 'Attributes Calculations'!$E$16,'Attributes Calculations'!$E$16+S65 ), IF(T65='Defaults and Ranges'!$W$27, 'Attributes Calculations'!$E$16/2,('Attributes Calculations'!$E$16+S65)/2 ) )</f>
        <v>2799</v>
      </c>
      <c r="P65" s="13">
        <f>O65*Inputs!$C$34</f>
        <v>9796.5</v>
      </c>
      <c r="Q65">
        <v>1</v>
      </c>
      <c r="R65">
        <v>2</v>
      </c>
      <c r="S65">
        <f t="shared" si="4"/>
        <v>500</v>
      </c>
      <c r="T65" t="str">
        <f>'Defaults and Ranges'!$W$26</f>
        <v>Courtyard</v>
      </c>
    </row>
    <row r="66" spans="9:21" x14ac:dyDescent="0.3">
      <c r="O66" s="11">
        <f>IF(Q66=1, IF(T66='Defaults and Ranges'!$W$27, 'Attributes Calculations'!$E$16,'Attributes Calculations'!$E$16+S66 ), IF(T66='Defaults and Ranges'!$W$27, 'Attributes Calculations'!$E$16/2,('Attributes Calculations'!$E$16+S66)/2 ) )</f>
        <v>3049</v>
      </c>
      <c r="P66" s="13">
        <f>O66*Inputs!$C$34</f>
        <v>10671.5</v>
      </c>
      <c r="Q66">
        <v>1</v>
      </c>
      <c r="R66">
        <v>3</v>
      </c>
      <c r="S66">
        <f t="shared" si="4"/>
        <v>750</v>
      </c>
      <c r="T66" t="str">
        <f>'Defaults and Ranges'!$W$26</f>
        <v>Courtyard</v>
      </c>
    </row>
    <row r="67" spans="9:21" x14ac:dyDescent="0.3">
      <c r="J67" t="s">
        <v>504</v>
      </c>
      <c r="O67" s="11">
        <f>IF(Q67=1, IF(T67='Defaults and Ranges'!$W$27, 'Attributes Calculations'!$E$16,'Attributes Calculations'!$E$16+S67 ), IF(T67='Defaults and Ranges'!$W$27, 'Attributes Calculations'!$E$16/2,('Attributes Calculations'!$E$16+S67)/2 ) )</f>
        <v>3299</v>
      </c>
      <c r="P67" s="13">
        <f>O67*Inputs!$C$34</f>
        <v>11546.5</v>
      </c>
      <c r="Q67">
        <v>1</v>
      </c>
      <c r="R67">
        <v>4</v>
      </c>
      <c r="S67">
        <f t="shared" si="4"/>
        <v>1000</v>
      </c>
      <c r="T67" t="str">
        <f>'Defaults and Ranges'!$W$26</f>
        <v>Courtyard</v>
      </c>
      <c r="U67">
        <f>4*SQRT(2800)</f>
        <v>211.66010488516724</v>
      </c>
    </row>
    <row r="68" spans="9:21" x14ac:dyDescent="0.3">
      <c r="J68" t="s">
        <v>491</v>
      </c>
      <c r="K68" s="8">
        <v>0.5</v>
      </c>
      <c r="O68" s="11">
        <f>IF(Q68=1, IF(T68='Defaults and Ranges'!$W$27, 'Attributes Calculations'!$E$16,'Attributes Calculations'!$E$16+S68 ), IF(T68='Defaults and Ranges'!$W$27, 'Attributes Calculations'!$E$16/2,('Attributes Calculations'!$E$16+S68)/2 ) )</f>
        <v>1149.5</v>
      </c>
      <c r="P68" s="13">
        <f>O68*Inputs!$C$34</f>
        <v>4023.25</v>
      </c>
      <c r="Q68">
        <v>2</v>
      </c>
      <c r="R68">
        <v>0</v>
      </c>
      <c r="S68">
        <f t="shared" si="4"/>
        <v>0</v>
      </c>
      <c r="T68" t="str">
        <f>'Defaults and Ranges'!$W$26</f>
        <v>Courtyard</v>
      </c>
      <c r="U68">
        <f>4*SQRT(2500)+2*SQRT(300)</f>
        <v>234.64101615137756</v>
      </c>
    </row>
    <row r="69" spans="9:21" x14ac:dyDescent="0.3">
      <c r="K69" s="8"/>
      <c r="O69" s="11">
        <f>IF(Q69=1, IF(T69='Defaults and Ranges'!$W$27, 'Attributes Calculations'!$E$16,'Attributes Calculations'!$E$16+S69 ), IF(T69='Defaults and Ranges'!$W$27, 'Attributes Calculations'!$E$16/2,('Attributes Calculations'!$E$16+S69)/2 ) )</f>
        <v>1274.5</v>
      </c>
      <c r="P69" s="13">
        <f>O69*Inputs!$C$34</f>
        <v>4460.75</v>
      </c>
      <c r="Q69">
        <v>2</v>
      </c>
      <c r="R69">
        <v>1</v>
      </c>
      <c r="S69">
        <f t="shared" si="4"/>
        <v>250</v>
      </c>
      <c r="T69" t="str">
        <f>'Defaults and Ranges'!$W$26</f>
        <v>Courtyard</v>
      </c>
    </row>
    <row r="70" spans="9:21" x14ac:dyDescent="0.3">
      <c r="O70" s="11">
        <f>IF(Q70=1, IF(T70='Defaults and Ranges'!$W$27, 'Attributes Calculations'!$E$16,'Attributes Calculations'!$E$16+S70 ), IF(T70='Defaults and Ranges'!$W$27, 'Attributes Calculations'!$E$16/2,('Attributes Calculations'!$E$16+S70)/2 ) )</f>
        <v>1399.5</v>
      </c>
      <c r="P70" s="13">
        <f>O70*Inputs!$C$34</f>
        <v>4898.25</v>
      </c>
      <c r="Q70">
        <v>2</v>
      </c>
      <c r="R70">
        <v>2</v>
      </c>
      <c r="S70">
        <f t="shared" si="4"/>
        <v>500</v>
      </c>
      <c r="T70" t="str">
        <f>'Defaults and Ranges'!$W$26</f>
        <v>Courtyard</v>
      </c>
    </row>
    <row r="71" spans="9:21" x14ac:dyDescent="0.3">
      <c r="J71" t="s">
        <v>509</v>
      </c>
      <c r="O71" s="11">
        <f>IF(Q71=1, IF(T71='Defaults and Ranges'!$W$27, 'Attributes Calculations'!$E$16,'Attributes Calculations'!$E$16+S71 ), IF(T71='Defaults and Ranges'!$W$27, 'Attributes Calculations'!$E$16/2,('Attributes Calculations'!$E$16+S71)/2 ) )</f>
        <v>1524.5</v>
      </c>
      <c r="P71" s="13">
        <f>O71*Inputs!$C$34</f>
        <v>5335.75</v>
      </c>
      <c r="Q71">
        <v>2</v>
      </c>
      <c r="R71">
        <v>3</v>
      </c>
      <c r="S71">
        <f t="shared" si="4"/>
        <v>750</v>
      </c>
      <c r="T71" t="str">
        <f>'Defaults and Ranges'!$W$26</f>
        <v>Courtyard</v>
      </c>
    </row>
    <row r="72" spans="9:21" x14ac:dyDescent="0.3">
      <c r="J72" t="s">
        <v>511</v>
      </c>
      <c r="K72" s="2">
        <v>3000</v>
      </c>
      <c r="O72" s="11">
        <f>IF(Q72=1, IF(T72='Defaults and Ranges'!$W$27, 'Attributes Calculations'!$E$16,'Attributes Calculations'!$E$16+S72 ), IF(T72='Defaults and Ranges'!$W$27, 'Attributes Calculations'!$E$16/2,('Attributes Calculations'!$E$16+S72)/2 ) )</f>
        <v>1649.5</v>
      </c>
      <c r="P72" s="13">
        <f>O72*Inputs!$C$34</f>
        <v>5773.25</v>
      </c>
      <c r="Q72">
        <v>2</v>
      </c>
      <c r="R72">
        <v>4</v>
      </c>
      <c r="S72">
        <f t="shared" si="4"/>
        <v>1000</v>
      </c>
      <c r="T72" t="str">
        <f>'Defaults and Ranges'!$W$26</f>
        <v>Courtyard</v>
      </c>
    </row>
    <row r="73" spans="9:21" x14ac:dyDescent="0.3">
      <c r="J73" t="s">
        <v>109</v>
      </c>
      <c r="K73">
        <v>2000</v>
      </c>
      <c r="O73" s="11">
        <f>IF(Q73=1, IF(T73='Defaults and Ranges'!$W$27, 'Attributes Calculations'!$E$16,'Attributes Calculations'!$E$16+S73 ), IF(T73='Defaults and Ranges'!$W$27, 'Attributes Calculations'!$E$16/2,('Attributes Calculations'!$E$16+S73)/2 ) )</f>
        <v>2299</v>
      </c>
      <c r="P73" s="13">
        <f>O73*Inputs!$C$34</f>
        <v>8046.5</v>
      </c>
      <c r="Q73">
        <v>1</v>
      </c>
      <c r="R73">
        <v>0</v>
      </c>
      <c r="S73">
        <f>R73*$O$7</f>
        <v>0</v>
      </c>
      <c r="T73" t="str">
        <f>'Defaults and Ranges'!$W$27</f>
        <v>Basement</v>
      </c>
    </row>
    <row r="74" spans="9:21" x14ac:dyDescent="0.3">
      <c r="J74" t="s">
        <v>514</v>
      </c>
      <c r="K74" s="8">
        <f>K72/K73</f>
        <v>1.5</v>
      </c>
      <c r="O74" s="11">
        <f>IF(Q74=1, IF(T74='Defaults and Ranges'!$W$27, 'Attributes Calculations'!$E$16,'Attributes Calculations'!$E$16+S74 ), IF(T74='Defaults and Ranges'!$W$27, 'Attributes Calculations'!$E$16/2,('Attributes Calculations'!$E$16+S74)/2 ) )</f>
        <v>2299</v>
      </c>
      <c r="P74" s="13">
        <f>O74*Inputs!$C$34</f>
        <v>8046.5</v>
      </c>
      <c r="Q74">
        <v>1</v>
      </c>
      <c r="R74">
        <v>1</v>
      </c>
      <c r="S74">
        <f t="shared" si="4"/>
        <v>250</v>
      </c>
      <c r="T74" t="str">
        <f>'Defaults and Ranges'!$W$27</f>
        <v>Basement</v>
      </c>
    </row>
    <row r="75" spans="9:21" x14ac:dyDescent="0.3">
      <c r="J75" t="s">
        <v>516</v>
      </c>
      <c r="K75" s="8">
        <v>2</v>
      </c>
      <c r="O75" s="11">
        <f>IF(Q75=1, IF(T75='Defaults and Ranges'!$W$27, 'Attributes Calculations'!$E$16,'Attributes Calculations'!$E$16+S75 ), IF(T75='Defaults and Ranges'!$W$27, 'Attributes Calculations'!$E$16/2,('Attributes Calculations'!$E$16+S75)/2 ) )</f>
        <v>2299</v>
      </c>
      <c r="P75" s="13">
        <f>O75*Inputs!$C$34</f>
        <v>8046.5</v>
      </c>
      <c r="Q75">
        <v>1</v>
      </c>
      <c r="R75">
        <v>2</v>
      </c>
      <c r="S75">
        <f t="shared" si="4"/>
        <v>500</v>
      </c>
      <c r="T75" t="str">
        <f>'Defaults and Ranges'!$W$27</f>
        <v>Basement</v>
      </c>
    </row>
    <row r="76" spans="9:21" x14ac:dyDescent="0.3">
      <c r="J76">
        <v>8</v>
      </c>
      <c r="K76" s="8">
        <f>K74+K75</f>
        <v>3.5</v>
      </c>
      <c r="O76" s="11">
        <f>IF(Q76=1, IF(T76='Defaults and Ranges'!$W$27, 'Attributes Calculations'!$E$16,'Attributes Calculations'!$E$16+S76 ), IF(T76='Defaults and Ranges'!$W$27, 'Attributes Calculations'!$E$16/2,('Attributes Calculations'!$E$16+S76)/2 ) )</f>
        <v>2299</v>
      </c>
      <c r="P76" s="13">
        <f>O76*Inputs!$C$34</f>
        <v>8046.5</v>
      </c>
      <c r="Q76">
        <v>1</v>
      </c>
      <c r="R76">
        <v>3</v>
      </c>
      <c r="S76">
        <f t="shared" si="4"/>
        <v>750</v>
      </c>
      <c r="T76" t="str">
        <f>'Defaults and Ranges'!$W$27</f>
        <v>Basement</v>
      </c>
    </row>
    <row r="77" spans="9:21" x14ac:dyDescent="0.3">
      <c r="J77">
        <v>9</v>
      </c>
      <c r="K77" s="9">
        <f>K76*(1+Inputs!$C$7)</f>
        <v>3.8500000000000005</v>
      </c>
      <c r="O77" s="11">
        <f>IF(Q77=1, IF(T77='Defaults and Ranges'!$W$27, 'Attributes Calculations'!$E$16,'Attributes Calculations'!$E$16+S77 ), IF(T77='Defaults and Ranges'!$W$27, 'Attributes Calculations'!$E$16/2,('Attributes Calculations'!$E$16+S77)/2 ) )</f>
        <v>2299</v>
      </c>
      <c r="P77" s="13">
        <f>O77*Inputs!$C$34</f>
        <v>8046.5</v>
      </c>
      <c r="Q77">
        <v>1</v>
      </c>
      <c r="R77">
        <v>4</v>
      </c>
      <c r="S77">
        <f t="shared" si="4"/>
        <v>1000</v>
      </c>
      <c r="T77" t="str">
        <f>'Defaults and Ranges'!$W$27</f>
        <v>Basement</v>
      </c>
    </row>
    <row r="78" spans="9:21" x14ac:dyDescent="0.3">
      <c r="I78" t="s">
        <v>491</v>
      </c>
      <c r="J78">
        <v>10</v>
      </c>
      <c r="K78" s="9">
        <f>K77*(1+Inputs!$C$7)</f>
        <v>4.2350000000000012</v>
      </c>
      <c r="O78" s="11">
        <f>IF(Q78=1, IF(T78='Defaults and Ranges'!$W$27, 'Attributes Calculations'!$E$16,'Attributes Calculations'!$E$16+S78 ), IF(T78='Defaults and Ranges'!$W$27, 'Attributes Calculations'!$E$16/2,('Attributes Calculations'!$E$16+S78)/2 ) )</f>
        <v>1149.5</v>
      </c>
      <c r="P78" s="13">
        <f>O78*Inputs!$C$34</f>
        <v>4023.25</v>
      </c>
      <c r="Q78">
        <v>2</v>
      </c>
      <c r="R78">
        <v>0</v>
      </c>
      <c r="S78">
        <f t="shared" si="4"/>
        <v>0</v>
      </c>
      <c r="T78" t="str">
        <f>'Defaults and Ranges'!$W$27</f>
        <v>Basement</v>
      </c>
    </row>
    <row r="79" spans="9:21" x14ac:dyDescent="0.3">
      <c r="J79">
        <v>11</v>
      </c>
      <c r="K79" s="9">
        <f>K78*(1+Inputs!$C$7)</f>
        <v>4.6585000000000019</v>
      </c>
      <c r="O79" s="11">
        <f>IF(Q79=1, IF(T79='Defaults and Ranges'!$W$27, 'Attributes Calculations'!$E$16,'Attributes Calculations'!$E$16+S79 ), IF(T79='Defaults and Ranges'!$W$27, 'Attributes Calculations'!$E$16/2,('Attributes Calculations'!$E$16+S79)/2 ) )</f>
        <v>1149.5</v>
      </c>
      <c r="P79" s="13">
        <f>O79*Inputs!$C$34</f>
        <v>4023.25</v>
      </c>
      <c r="Q79">
        <v>2</v>
      </c>
      <c r="R79">
        <v>1</v>
      </c>
      <c r="S79">
        <f t="shared" si="4"/>
        <v>250</v>
      </c>
      <c r="T79" t="str">
        <f>'Defaults and Ranges'!$W$27</f>
        <v>Basement</v>
      </c>
    </row>
    <row r="80" spans="9:21" x14ac:dyDescent="0.3">
      <c r="J80">
        <v>12</v>
      </c>
      <c r="K80" s="9">
        <f>K79*(1+Inputs!$C$7)</f>
        <v>5.1243500000000024</v>
      </c>
      <c r="O80" s="11">
        <f>IF(Q80=1, IF(T80='Defaults and Ranges'!$W$27, 'Attributes Calculations'!$E$16,'Attributes Calculations'!$E$16+S80 ), IF(T80='Defaults and Ranges'!$W$27, 'Attributes Calculations'!$E$16/2,('Attributes Calculations'!$E$16+S80)/2 ) )</f>
        <v>1149.5</v>
      </c>
      <c r="P80" s="13">
        <f>O80*Inputs!$C$34</f>
        <v>4023.25</v>
      </c>
      <c r="Q80">
        <v>2</v>
      </c>
      <c r="R80">
        <v>2</v>
      </c>
      <c r="S80">
        <f t="shared" si="4"/>
        <v>500</v>
      </c>
      <c r="T80" t="str">
        <f>'Defaults and Ranges'!$W$27</f>
        <v>Basement</v>
      </c>
    </row>
    <row r="81" spans="9:20" x14ac:dyDescent="0.3">
      <c r="O81" s="11">
        <f>IF(Q81=1, IF(T81='Defaults and Ranges'!$W$27, 'Attributes Calculations'!$E$16,'Attributes Calculations'!$E$16+S81 ), IF(T81='Defaults and Ranges'!$W$27, 'Attributes Calculations'!$E$16/2,('Attributes Calculations'!$E$16+S81)/2 ) )</f>
        <v>1149.5</v>
      </c>
      <c r="P81" s="13">
        <f>O81*Inputs!$C$34</f>
        <v>4023.25</v>
      </c>
      <c r="Q81">
        <v>2</v>
      </c>
      <c r="R81">
        <v>3</v>
      </c>
      <c r="S81">
        <f t="shared" si="4"/>
        <v>750</v>
      </c>
      <c r="T81" t="str">
        <f>'Defaults and Ranges'!$W$27</f>
        <v>Basement</v>
      </c>
    </row>
    <row r="82" spans="9:20" x14ac:dyDescent="0.3">
      <c r="O82" s="11">
        <f>IF(Q82=1, IF(T82='Defaults and Ranges'!$W$27, 'Attributes Calculations'!$E$16,'Attributes Calculations'!$E$16+S82 ), IF(T82='Defaults and Ranges'!$W$27, 'Attributes Calculations'!$E$16/2,('Attributes Calculations'!$E$16+S82)/2 ) )</f>
        <v>1149.5</v>
      </c>
      <c r="P82" s="13">
        <f>O82*Inputs!$C$34</f>
        <v>4023.25</v>
      </c>
      <c r="Q82">
        <v>2</v>
      </c>
      <c r="R82">
        <v>4</v>
      </c>
      <c r="S82">
        <f t="shared" si="4"/>
        <v>1000</v>
      </c>
      <c r="T82" t="str">
        <f>'Defaults and Ranges'!$W$27</f>
        <v>Basement</v>
      </c>
    </row>
    <row r="83" spans="9:20" x14ac:dyDescent="0.3">
      <c r="K83" s="2"/>
    </row>
    <row r="84" spans="9:20" x14ac:dyDescent="0.3">
      <c r="J84" t="s">
        <v>393</v>
      </c>
      <c r="O84" t="s">
        <v>492</v>
      </c>
    </row>
    <row r="85" spans="9:20" x14ac:dyDescent="0.3">
      <c r="J85">
        <v>8</v>
      </c>
      <c r="K85" s="8">
        <v>4</v>
      </c>
      <c r="O85" s="13">
        <v>1000</v>
      </c>
    </row>
    <row r="86" spans="9:20" x14ac:dyDescent="0.3">
      <c r="J86">
        <v>9</v>
      </c>
      <c r="K86" s="9">
        <f>K85*(1+Inputs!$C$8)</f>
        <v>4.3600000000000003</v>
      </c>
      <c r="O86" t="s">
        <v>419</v>
      </c>
    </row>
    <row r="87" spans="9:20" x14ac:dyDescent="0.3">
      <c r="I87" t="s">
        <v>491</v>
      </c>
      <c r="J87">
        <v>10</v>
      </c>
      <c r="K87" s="9">
        <f>K86*(1+Inputs!$C$8)</f>
        <v>4.7524000000000006</v>
      </c>
      <c r="O87" t="s">
        <v>494</v>
      </c>
    </row>
    <row r="88" spans="9:20" x14ac:dyDescent="0.3">
      <c r="J88">
        <v>11</v>
      </c>
      <c r="K88" s="9">
        <f>K87*(1+Inputs!$C$8)</f>
        <v>5.1801160000000008</v>
      </c>
      <c r="O88">
        <v>1</v>
      </c>
    </row>
    <row r="89" spans="9:20" x14ac:dyDescent="0.3">
      <c r="J89">
        <v>12</v>
      </c>
      <c r="K89" s="9">
        <f>K88*(1+Inputs!$C$8)</f>
        <v>5.6463264400000011</v>
      </c>
      <c r="O89" s="13" t="s">
        <v>496</v>
      </c>
    </row>
    <row r="90" spans="9:20" x14ac:dyDescent="0.3">
      <c r="O90" s="13">
        <v>400</v>
      </c>
    </row>
    <row r="91" spans="9:20" x14ac:dyDescent="0.3">
      <c r="J91" t="s">
        <v>124</v>
      </c>
      <c r="O91" t="s">
        <v>497</v>
      </c>
      <c r="P91" t="s">
        <v>498</v>
      </c>
      <c r="Q91" t="s">
        <v>499</v>
      </c>
      <c r="R91" t="s">
        <v>500</v>
      </c>
    </row>
    <row r="92" spans="9:20" x14ac:dyDescent="0.3">
      <c r="J92" t="s">
        <v>531</v>
      </c>
      <c r="K92" s="8">
        <v>2.5</v>
      </c>
      <c r="O92" t="s">
        <v>501</v>
      </c>
      <c r="P92" s="11">
        <f>ROUNDUP((P94+P95)/P98,0)</f>
        <v>29</v>
      </c>
      <c r="Q92" s="11">
        <f>ROUNDUP((Q94+Q95)/Q98,0)</f>
        <v>29</v>
      </c>
      <c r="R92" s="11">
        <f>ROUNDUP((R94+R95)/R98,0)</f>
        <v>29</v>
      </c>
      <c r="S92" s="11"/>
      <c r="T92" s="11"/>
    </row>
    <row r="93" spans="9:20" x14ac:dyDescent="0.3">
      <c r="O93" t="s">
        <v>502</v>
      </c>
      <c r="P93">
        <v>300</v>
      </c>
      <c r="Q93">
        <f>P93</f>
        <v>300</v>
      </c>
      <c r="R93">
        <f t="shared" ref="R93:R105" si="5">Q93</f>
        <v>300</v>
      </c>
    </row>
    <row r="94" spans="9:20" x14ac:dyDescent="0.3">
      <c r="J94" t="s">
        <v>402</v>
      </c>
      <c r="O94" t="s">
        <v>503</v>
      </c>
      <c r="P94">
        <f>P93*'Attributes Inputs and Outputs'!I8</f>
        <v>600</v>
      </c>
      <c r="Q94">
        <f>Q93*'Defaults and Ranges'!L6</f>
        <v>600</v>
      </c>
      <c r="R94">
        <f>P94</f>
        <v>600</v>
      </c>
    </row>
    <row r="95" spans="9:20" x14ac:dyDescent="0.3">
      <c r="J95">
        <v>8</v>
      </c>
      <c r="K95" s="8">
        <v>2.5</v>
      </c>
      <c r="O95" t="s">
        <v>505</v>
      </c>
      <c r="P95">
        <f>P96*P97</f>
        <v>780</v>
      </c>
      <c r="Q95">
        <f>Q96*Q97</f>
        <v>780</v>
      </c>
      <c r="R95">
        <f>Q96*R97</f>
        <v>780</v>
      </c>
    </row>
    <row r="96" spans="9:20" x14ac:dyDescent="0.3">
      <c r="J96">
        <v>9</v>
      </c>
      <c r="K96" s="9">
        <f>K95*(1+Inputs!$C$9)</f>
        <v>2.625</v>
      </c>
      <c r="O96" t="s">
        <v>506</v>
      </c>
      <c r="P96">
        <f>IF('Attributes Calculations'!T10=0,0,3+'Attributes Inputs and Outputs'!L8)</f>
        <v>12</v>
      </c>
      <c r="Q96">
        <f>IF('Defaults and Ranges'!$L$6=0,0,3+'Defaults and Ranges'!$O$6)</f>
        <v>12</v>
      </c>
      <c r="R96">
        <f t="shared" si="5"/>
        <v>12</v>
      </c>
    </row>
    <row r="97" spans="9:20" x14ac:dyDescent="0.3">
      <c r="I97" t="s">
        <v>491</v>
      </c>
      <c r="J97">
        <v>10</v>
      </c>
      <c r="K97" s="9">
        <f>K96*(1+Inputs!$C$9)</f>
        <v>2.7562500000000001</v>
      </c>
      <c r="O97" t="s">
        <v>507</v>
      </c>
      <c r="P97">
        <f>IF('Attributes Calculations'!T10=0,0,52+13*('Attributes Inputs and Outputs'!I8-1))</f>
        <v>65</v>
      </c>
      <c r="Q97">
        <f>IF('Defaults and Ranges'!L6=0,0,52+13*('Defaults and Ranges'!L6-1))</f>
        <v>65</v>
      </c>
      <c r="R97">
        <f>P97</f>
        <v>65</v>
      </c>
    </row>
    <row r="98" spans="9:20" x14ac:dyDescent="0.3">
      <c r="J98">
        <v>11</v>
      </c>
      <c r="K98" s="9">
        <f>K97*(1+Inputs!$C$9)</f>
        <v>2.8940625000000004</v>
      </c>
      <c r="O98" t="s">
        <v>508</v>
      </c>
      <c r="P98">
        <f>4*12</f>
        <v>48</v>
      </c>
      <c r="Q98">
        <f>P98</f>
        <v>48</v>
      </c>
      <c r="R98">
        <f t="shared" si="5"/>
        <v>48</v>
      </c>
    </row>
    <row r="99" spans="9:20" x14ac:dyDescent="0.3">
      <c r="J99">
        <v>12</v>
      </c>
      <c r="K99" s="9">
        <f>K98*(1+Inputs!$C$9)</f>
        <v>3.0387656250000004</v>
      </c>
      <c r="O99" t="s">
        <v>510</v>
      </c>
      <c r="P99" s="13">
        <v>42</v>
      </c>
      <c r="Q99" s="13">
        <f>P99</f>
        <v>42</v>
      </c>
      <c r="R99" s="13">
        <f t="shared" si="5"/>
        <v>42</v>
      </c>
      <c r="S99" s="13"/>
      <c r="T99" s="13"/>
    </row>
    <row r="100" spans="9:20" x14ac:dyDescent="0.3">
      <c r="O100" s="22" t="s">
        <v>512</v>
      </c>
    </row>
    <row r="101" spans="9:20" x14ac:dyDescent="0.3">
      <c r="J101" t="s">
        <v>312</v>
      </c>
      <c r="O101" s="22" t="s">
        <v>513</v>
      </c>
      <c r="P101">
        <v>2</v>
      </c>
      <c r="Q101">
        <f>P101</f>
        <v>2</v>
      </c>
      <c r="R101">
        <f t="shared" si="5"/>
        <v>2</v>
      </c>
    </row>
    <row r="102" spans="9:20" x14ac:dyDescent="0.3">
      <c r="J102" t="s">
        <v>56</v>
      </c>
      <c r="K102" s="2">
        <v>2000</v>
      </c>
      <c r="O102" s="22" t="s">
        <v>515</v>
      </c>
      <c r="P102">
        <v>1.25</v>
      </c>
      <c r="Q102">
        <f>P102</f>
        <v>1.25</v>
      </c>
      <c r="R102">
        <f t="shared" si="5"/>
        <v>1.25</v>
      </c>
    </row>
    <row r="103" spans="9:20" x14ac:dyDescent="0.3">
      <c r="J103" t="s">
        <v>109</v>
      </c>
      <c r="K103">
        <v>2000</v>
      </c>
      <c r="O103" s="22" t="s">
        <v>517</v>
      </c>
      <c r="P103">
        <v>1.1000000000000001</v>
      </c>
      <c r="Q103">
        <f>P103</f>
        <v>1.1000000000000001</v>
      </c>
      <c r="R103">
        <f t="shared" si="5"/>
        <v>1.1000000000000001</v>
      </c>
    </row>
    <row r="104" spans="9:20" x14ac:dyDescent="0.3">
      <c r="J104">
        <v>8</v>
      </c>
      <c r="K104" s="8">
        <f>K102/K103</f>
        <v>1</v>
      </c>
      <c r="O104" s="22" t="s">
        <v>518</v>
      </c>
      <c r="P104">
        <v>1.5</v>
      </c>
      <c r="Q104">
        <f>P104</f>
        <v>1.5</v>
      </c>
      <c r="R104">
        <f t="shared" si="5"/>
        <v>1.5</v>
      </c>
    </row>
    <row r="105" spans="9:20" x14ac:dyDescent="0.3">
      <c r="J105">
        <v>9</v>
      </c>
      <c r="K105" s="9">
        <f>K104*(1+Inputs!$C$10)</f>
        <v>1.1000000000000001</v>
      </c>
      <c r="O105" s="22" t="s">
        <v>519</v>
      </c>
      <c r="P105" s="13">
        <v>200</v>
      </c>
      <c r="Q105">
        <f>P105</f>
        <v>200</v>
      </c>
      <c r="R105">
        <f t="shared" si="5"/>
        <v>200</v>
      </c>
    </row>
    <row r="106" spans="9:20" x14ac:dyDescent="0.3">
      <c r="I106" t="s">
        <v>491</v>
      </c>
      <c r="J106">
        <v>10</v>
      </c>
      <c r="K106" s="9">
        <f>K105*(1+Inputs!$C$10)</f>
        <v>1.2100000000000002</v>
      </c>
      <c r="O106" s="22" t="s">
        <v>520</v>
      </c>
      <c r="P106" s="18">
        <f>P101*P102^('Attributes Inputs and Outputs'!$I$8-1)*P103^('Attributes Inputs and Outputs'!$L$8-8)*IF('Attributes Inputs and Outputs'!$L$8&gt;=10, 'Attributes Back Calcs'!P104, 1)</f>
        <v>2.75</v>
      </c>
      <c r="Q106" s="18">
        <f>Q101*Q102^('Defaults and Ranges'!L6-1)*Q103^('Defaults and Ranges'!O6-8)*IF('Defaults and Ranges'!O6&gt;=10, 'Attributes Back Calcs'!Q104, 1)</f>
        <v>2.75</v>
      </c>
      <c r="R106" s="18">
        <f>R101*R102^('Attributes Inputs and Outputs'!$I$8-1)*R103^('Defaults and Ranges'!O6-8)*IF('Defaults and Ranges'!O6&gt;=10, 'Attributes Back Calcs'!R104, 1)</f>
        <v>2.75</v>
      </c>
      <c r="S106" s="18"/>
      <c r="T106" s="18"/>
    </row>
    <row r="107" spans="9:20" x14ac:dyDescent="0.3">
      <c r="J107">
        <v>11</v>
      </c>
      <c r="K107" s="9">
        <f>K106*(1+Inputs!$C$10)</f>
        <v>1.3310000000000004</v>
      </c>
      <c r="O107" s="22" t="s">
        <v>521</v>
      </c>
      <c r="P107" s="13">
        <f>P106*P105</f>
        <v>550</v>
      </c>
      <c r="Q107" s="13">
        <f>Q106*Q105</f>
        <v>550</v>
      </c>
      <c r="R107" s="13">
        <f>R106*R105</f>
        <v>550</v>
      </c>
      <c r="S107" s="13"/>
      <c r="T107" s="13"/>
    </row>
    <row r="108" spans="9:20" x14ac:dyDescent="0.3">
      <c r="J108">
        <v>12</v>
      </c>
      <c r="K108" s="9">
        <f>K107*(1+Inputs!$C$10)</f>
        <v>1.4641000000000006</v>
      </c>
    </row>
    <row r="109" spans="9:20" x14ac:dyDescent="0.3">
      <c r="O109" t="s">
        <v>522</v>
      </c>
      <c r="P109" t="s">
        <v>523</v>
      </c>
      <c r="Q109" t="s">
        <v>499</v>
      </c>
    </row>
    <row r="110" spans="9:20" x14ac:dyDescent="0.3">
      <c r="J110" t="s">
        <v>415</v>
      </c>
      <c r="K110" s="2">
        <f>LOOKUP('Attributes Inputs and Outputs'!K8, 'Attributes Back Calcs'!J111:J115, 'Attributes Back Calcs'!K111:K115)</f>
        <v>450</v>
      </c>
      <c r="O110" t="s">
        <v>370</v>
      </c>
      <c r="P110">
        <f>IF('Attributes Calculations'!T10=0,0,2+'Attributes Calculations'!T10-1)</f>
        <v>3</v>
      </c>
      <c r="Q110">
        <f>IF('Defaults and Ranges'!L6=0,0,2+'Defaults and Ranges'!L6-1)</f>
        <v>3</v>
      </c>
    </row>
    <row r="111" spans="9:20" x14ac:dyDescent="0.3">
      <c r="J111">
        <v>8</v>
      </c>
      <c r="K111" s="13">
        <v>450</v>
      </c>
      <c r="O111" t="s">
        <v>524</v>
      </c>
      <c r="P111">
        <v>1</v>
      </c>
      <c r="Q111">
        <f>P111</f>
        <v>1</v>
      </c>
    </row>
    <row r="112" spans="9:20" x14ac:dyDescent="0.3">
      <c r="J112">
        <v>9</v>
      </c>
      <c r="K112" s="13">
        <v>450</v>
      </c>
      <c r="O112" t="s">
        <v>525</v>
      </c>
      <c r="P112">
        <f>P111*'Attributes Calculations'!T10</f>
        <v>2</v>
      </c>
      <c r="Q112">
        <f>Q111*'Defaults and Ranges'!L6</f>
        <v>2</v>
      </c>
    </row>
    <row r="113" spans="10:17" x14ac:dyDescent="0.3">
      <c r="J113">
        <v>10</v>
      </c>
      <c r="K113" s="13">
        <v>450</v>
      </c>
      <c r="O113" t="s">
        <v>526</v>
      </c>
      <c r="P113" s="13">
        <v>34</v>
      </c>
      <c r="Q113" s="13">
        <f>P113</f>
        <v>34</v>
      </c>
    </row>
    <row r="114" spans="10:17" x14ac:dyDescent="0.3">
      <c r="J114">
        <v>11</v>
      </c>
      <c r="K114" s="13">
        <v>450</v>
      </c>
      <c r="O114" t="s">
        <v>527</v>
      </c>
      <c r="P114" s="13">
        <v>70</v>
      </c>
      <c r="Q114" s="13">
        <f>P114</f>
        <v>70</v>
      </c>
    </row>
    <row r="115" spans="10:17" x14ac:dyDescent="0.3">
      <c r="J115">
        <v>12</v>
      </c>
      <c r="K115" s="13">
        <v>450</v>
      </c>
    </row>
    <row r="116" spans="10:17" x14ac:dyDescent="0.3">
      <c r="O116" t="s">
        <v>528</v>
      </c>
      <c r="P116" s="8">
        <f>SUM(P117:P118)</f>
        <v>5</v>
      </c>
    </row>
    <row r="117" spans="10:17" x14ac:dyDescent="0.3">
      <c r="J117" t="s">
        <v>532</v>
      </c>
      <c r="O117" t="s">
        <v>529</v>
      </c>
      <c r="P117" s="8">
        <v>2</v>
      </c>
    </row>
    <row r="118" spans="10:17" x14ac:dyDescent="0.3">
      <c r="J118" t="s">
        <v>493</v>
      </c>
      <c r="K118" s="2">
        <v>175</v>
      </c>
      <c r="O118" t="s">
        <v>530</v>
      </c>
      <c r="P118" s="8">
        <v>3</v>
      </c>
    </row>
    <row r="119" spans="10:17" x14ac:dyDescent="0.3">
      <c r="J119" t="s">
        <v>495</v>
      </c>
      <c r="K119">
        <f>K60</f>
        <v>5.0000000000000001E-3</v>
      </c>
    </row>
    <row r="120" spans="10:17" x14ac:dyDescent="0.3">
      <c r="J120">
        <v>8</v>
      </c>
      <c r="K120" s="8">
        <f>K118*K119</f>
        <v>0.875</v>
      </c>
      <c r="O120" t="s">
        <v>509</v>
      </c>
    </row>
    <row r="121" spans="10:17" x14ac:dyDescent="0.3">
      <c r="J121">
        <v>9</v>
      </c>
      <c r="K121" s="8">
        <f>K120*(1+Inputs!$C$12)</f>
        <v>0.96250000000000013</v>
      </c>
      <c r="O121" t="s">
        <v>514</v>
      </c>
      <c r="P121" s="8">
        <v>2</v>
      </c>
    </row>
    <row r="122" spans="10:17" x14ac:dyDescent="0.3">
      <c r="J122">
        <v>10</v>
      </c>
      <c r="K122" s="8">
        <f>K121*(1+Inputs!$C$12)</f>
        <v>1.0587500000000003</v>
      </c>
      <c r="O122" t="s">
        <v>516</v>
      </c>
      <c r="P122" s="8">
        <v>2</v>
      </c>
    </row>
    <row r="123" spans="10:17" x14ac:dyDescent="0.3">
      <c r="J123">
        <v>11</v>
      </c>
      <c r="K123" s="8">
        <f>K122*(1+Inputs!$C$12)</f>
        <v>1.1646250000000005</v>
      </c>
      <c r="O123">
        <v>8</v>
      </c>
      <c r="P123" s="8">
        <f>P121+P122</f>
        <v>4</v>
      </c>
    </row>
    <row r="124" spans="10:17" x14ac:dyDescent="0.3">
      <c r="J124">
        <v>12</v>
      </c>
      <c r="K124" s="8">
        <f>K123*(1+Inputs!$C$12)</f>
        <v>1.2810875000000006</v>
      </c>
      <c r="O124">
        <v>9</v>
      </c>
      <c r="P124" s="9">
        <f>P123+P123*1.1</f>
        <v>8.4</v>
      </c>
    </row>
    <row r="125" spans="10:17" x14ac:dyDescent="0.3">
      <c r="O125">
        <v>10</v>
      </c>
      <c r="P125" s="9">
        <f>$K$75+$K$74*1.1^2</f>
        <v>3.8150000000000004</v>
      </c>
    </row>
    <row r="126" spans="10:17" x14ac:dyDescent="0.3">
      <c r="J126" t="s">
        <v>425</v>
      </c>
      <c r="K126" s="2"/>
      <c r="O126">
        <v>11</v>
      </c>
      <c r="P126" s="9">
        <f>$K$75+$K$74*1.1^3</f>
        <v>3.9965000000000006</v>
      </c>
    </row>
    <row r="127" spans="10:17" x14ac:dyDescent="0.3">
      <c r="J127">
        <v>8</v>
      </c>
      <c r="K127" s="13">
        <v>150</v>
      </c>
      <c r="O127">
        <v>12</v>
      </c>
      <c r="P127" s="9">
        <f>$K$75+$K$74*1.1^4</f>
        <v>4.1961500000000012</v>
      </c>
    </row>
    <row r="128" spans="10:17" x14ac:dyDescent="0.3">
      <c r="J128">
        <v>9</v>
      </c>
      <c r="K128" s="13">
        <v>175</v>
      </c>
    </row>
    <row r="129" spans="10:13" x14ac:dyDescent="0.3">
      <c r="J129">
        <v>10</v>
      </c>
      <c r="K129" s="13">
        <v>200</v>
      </c>
    </row>
    <row r="130" spans="10:13" x14ac:dyDescent="0.3">
      <c r="J130">
        <v>11</v>
      </c>
      <c r="K130" s="13">
        <v>225</v>
      </c>
    </row>
    <row r="131" spans="10:13" x14ac:dyDescent="0.3">
      <c r="J131">
        <v>12</v>
      </c>
      <c r="K131" s="13">
        <v>225</v>
      </c>
    </row>
    <row r="133" spans="10:13" x14ac:dyDescent="0.3">
      <c r="J133" t="s">
        <v>432</v>
      </c>
      <c r="L133" t="s">
        <v>536</v>
      </c>
    </row>
    <row r="134" spans="10:13" x14ac:dyDescent="0.3">
      <c r="J134" t="s">
        <v>533</v>
      </c>
      <c r="K134" s="25">
        <f>8/2000</f>
        <v>4.0000000000000001E-3</v>
      </c>
    </row>
    <row r="135" spans="10:13" x14ac:dyDescent="0.3">
      <c r="J135" t="s">
        <v>534</v>
      </c>
      <c r="K135" s="25">
        <f>9/2000</f>
        <v>4.4999999999999997E-3</v>
      </c>
      <c r="L135" s="13">
        <v>300</v>
      </c>
      <c r="M135" s="13"/>
    </row>
    <row r="136" spans="10:13" x14ac:dyDescent="0.3">
      <c r="J136" t="s">
        <v>535</v>
      </c>
      <c r="K136" s="25">
        <f>12/2600</f>
        <v>4.6153846153846158E-3</v>
      </c>
      <c r="L136" s="13">
        <v>350</v>
      </c>
      <c r="M136" s="13"/>
    </row>
    <row r="137" spans="10:13" x14ac:dyDescent="0.3">
      <c r="L137" s="13">
        <v>400</v>
      </c>
      <c r="M137" s="13"/>
    </row>
    <row r="138" spans="10:13" x14ac:dyDescent="0.3">
      <c r="J138">
        <v>8</v>
      </c>
      <c r="K138" s="8">
        <f>$K$134*L135</f>
        <v>1.2</v>
      </c>
      <c r="L138" s="13">
        <v>550</v>
      </c>
      <c r="M138" s="13"/>
    </row>
    <row r="139" spans="10:13" x14ac:dyDescent="0.3">
      <c r="J139">
        <v>9</v>
      </c>
      <c r="K139" s="8">
        <f>$K$134*L136</f>
        <v>1.4000000000000001</v>
      </c>
      <c r="L139" s="13">
        <v>650</v>
      </c>
      <c r="M139" s="13"/>
    </row>
    <row r="140" spans="10:13" x14ac:dyDescent="0.3">
      <c r="J140">
        <v>10</v>
      </c>
      <c r="K140" s="8">
        <f>$K$134*L137</f>
        <v>1.6</v>
      </c>
    </row>
    <row r="141" spans="10:13" x14ac:dyDescent="0.3">
      <c r="J141">
        <v>11</v>
      </c>
      <c r="K141" s="8">
        <f>$K$134*L138</f>
        <v>2.2000000000000002</v>
      </c>
    </row>
    <row r="142" spans="10:13" x14ac:dyDescent="0.3">
      <c r="J142">
        <v>12</v>
      </c>
      <c r="K142" s="8">
        <f>$K$134*L139</f>
        <v>2.6</v>
      </c>
    </row>
    <row r="144" spans="10:13" x14ac:dyDescent="0.3">
      <c r="J144" t="s">
        <v>146</v>
      </c>
    </row>
    <row r="145" spans="10:11" x14ac:dyDescent="0.3">
      <c r="J145" t="s">
        <v>531</v>
      </c>
      <c r="K145" s="8">
        <f>K147*K146</f>
        <v>0.33749999999999997</v>
      </c>
    </row>
    <row r="146" spans="10:11" x14ac:dyDescent="0.3">
      <c r="J146" t="s">
        <v>581</v>
      </c>
      <c r="K146">
        <f>9/2000</f>
        <v>4.4999999999999997E-3</v>
      </c>
    </row>
    <row r="147" spans="10:11" x14ac:dyDescent="0.3">
      <c r="J147" t="s">
        <v>582</v>
      </c>
      <c r="K147" s="13">
        <v>75</v>
      </c>
    </row>
    <row r="164" spans="10:11" x14ac:dyDescent="0.3">
      <c r="J164" s="22" t="s">
        <v>537</v>
      </c>
      <c r="K164" s="22"/>
    </row>
    <row r="165" spans="10:11" x14ac:dyDescent="0.3">
      <c r="J165" s="22"/>
      <c r="K165" s="23">
        <v>3500</v>
      </c>
    </row>
  </sheetData>
  <pageMargins left="0.7" right="0.7" top="0.75" bottom="0.75" header="0.3" footer="0.3"/>
  <pageSetup orientation="portrait" horizontalDpi="4294967293" verticalDpi="1200" r:id="rId1"/>
  <ignoredErrors>
    <ignoredError sqref="R106" formula="1"/>
  </ignoredErrors>
  <legacyDrawing r:id="rId2"/>
  <tableParts count="1">
    <tablePart r:id="rId3"/>
  </tableParts>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4 bedroom" xr:uid="{00000000-0002-0000-0700-000000000000}">
          <x14:formula1>
            <xm:f>'Defaults and Ranges'!$F$27:$F$47</xm:f>
          </x14:formula1>
          <xm:sqref>B8</xm:sqref>
        </x14:dataValidation>
        <x14:dataValidation type="list" allowBlank="1" showInputMessage="1" showErrorMessage="1" promptTitle="3 bedroom" xr:uid="{00000000-0002-0000-0700-000001000000}">
          <x14:formula1>
            <xm:f>'Defaults and Ranges'!$F$24:$F$47</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1:D82"/>
  <sheetViews>
    <sheetView zoomScale="130" zoomScaleNormal="130" workbookViewId="0">
      <selection activeCell="C32" sqref="C32"/>
    </sheetView>
  </sheetViews>
  <sheetFormatPr defaultColWidth="8.88671875" defaultRowHeight="14.4" x14ac:dyDescent="0.3"/>
  <cols>
    <col min="1" max="1" width="5" customWidth="1"/>
    <col min="2" max="2" width="11.88671875" customWidth="1"/>
    <col min="3" max="3" width="121.77734375" style="47" customWidth="1"/>
  </cols>
  <sheetData>
    <row r="1" spans="2:3" x14ac:dyDescent="0.3">
      <c r="B1" t="s">
        <v>1300</v>
      </c>
      <c r="C1" s="47" t="s">
        <v>1299</v>
      </c>
    </row>
    <row r="2" spans="2:3" x14ac:dyDescent="0.3">
      <c r="B2" s="97">
        <v>42983</v>
      </c>
      <c r="C2" s="47" t="s">
        <v>1227</v>
      </c>
    </row>
    <row r="3" spans="2:3" x14ac:dyDescent="0.3">
      <c r="B3" s="97">
        <v>42993</v>
      </c>
      <c r="C3" s="47" t="s">
        <v>1229</v>
      </c>
    </row>
    <row r="4" spans="2:3" x14ac:dyDescent="0.3">
      <c r="B4" s="97">
        <v>43048</v>
      </c>
      <c r="C4" s="47" t="s">
        <v>1231</v>
      </c>
    </row>
    <row r="5" spans="2:3" x14ac:dyDescent="0.3">
      <c r="B5" s="97">
        <v>43050</v>
      </c>
      <c r="C5" s="47" t="s">
        <v>1233</v>
      </c>
    </row>
    <row r="6" spans="2:3" x14ac:dyDescent="0.3">
      <c r="B6" s="97">
        <v>43139</v>
      </c>
      <c r="C6" s="47" t="s">
        <v>1235</v>
      </c>
    </row>
    <row r="7" spans="2:3" x14ac:dyDescent="0.3">
      <c r="B7" s="97">
        <v>43139</v>
      </c>
      <c r="C7" s="47" t="s">
        <v>1236</v>
      </c>
    </row>
    <row r="8" spans="2:3" x14ac:dyDescent="0.3">
      <c r="B8" s="97">
        <v>43142</v>
      </c>
      <c r="C8" s="47" t="s">
        <v>1238</v>
      </c>
    </row>
    <row r="9" spans="2:3" x14ac:dyDescent="0.3">
      <c r="B9" s="97">
        <v>43230</v>
      </c>
      <c r="C9" s="47" t="s">
        <v>1239</v>
      </c>
    </row>
    <row r="10" spans="2:3" x14ac:dyDescent="0.3">
      <c r="B10" s="97">
        <v>43245</v>
      </c>
      <c r="C10" s="47" t="s">
        <v>1242</v>
      </c>
    </row>
    <row r="11" spans="2:3" x14ac:dyDescent="0.3">
      <c r="B11" s="97">
        <v>43337</v>
      </c>
      <c r="C11" s="47" t="s">
        <v>1243</v>
      </c>
    </row>
    <row r="12" spans="2:3" x14ac:dyDescent="0.3">
      <c r="B12" s="97">
        <v>43337</v>
      </c>
      <c r="C12" s="47" t="s">
        <v>1248</v>
      </c>
    </row>
    <row r="13" spans="2:3" x14ac:dyDescent="0.3">
      <c r="B13" s="97">
        <v>43431</v>
      </c>
      <c r="C13" s="47" t="s">
        <v>1272</v>
      </c>
    </row>
    <row r="14" spans="2:3" x14ac:dyDescent="0.3">
      <c r="B14" s="97">
        <v>43431</v>
      </c>
      <c r="C14" s="47" t="s">
        <v>1275</v>
      </c>
    </row>
    <row r="15" spans="2:3" x14ac:dyDescent="0.3">
      <c r="B15" s="97">
        <v>43433</v>
      </c>
      <c r="C15" s="47" t="s">
        <v>1277</v>
      </c>
    </row>
    <row r="16" spans="2:3" x14ac:dyDescent="0.3">
      <c r="B16" s="97">
        <v>43460</v>
      </c>
      <c r="C16" s="47" t="s">
        <v>1286</v>
      </c>
    </row>
    <row r="17" spans="2:3" x14ac:dyDescent="0.3">
      <c r="B17" s="97">
        <v>43465</v>
      </c>
      <c r="C17" s="47" t="s">
        <v>1289</v>
      </c>
    </row>
    <row r="18" spans="2:3" x14ac:dyDescent="0.3">
      <c r="B18" s="97">
        <v>43497</v>
      </c>
      <c r="C18" s="47" t="s">
        <v>1290</v>
      </c>
    </row>
    <row r="19" spans="2:3" x14ac:dyDescent="0.3">
      <c r="B19" s="97">
        <v>43528</v>
      </c>
      <c r="C19" s="47" t="s">
        <v>1296</v>
      </c>
    </row>
    <row r="20" spans="2:3" x14ac:dyDescent="0.3">
      <c r="B20" s="97">
        <v>43558</v>
      </c>
      <c r="C20" s="47" t="s">
        <v>1298</v>
      </c>
    </row>
    <row r="21" spans="2:3" x14ac:dyDescent="0.3">
      <c r="B21" s="97">
        <v>43584</v>
      </c>
      <c r="C21" s="47" t="s">
        <v>1301</v>
      </c>
    </row>
    <row r="22" spans="2:3" x14ac:dyDescent="0.3">
      <c r="B22" s="97">
        <v>43592</v>
      </c>
      <c r="C22" s="47" t="s">
        <v>1327</v>
      </c>
    </row>
    <row r="23" spans="2:3" x14ac:dyDescent="0.3">
      <c r="B23" s="97">
        <v>43610</v>
      </c>
      <c r="C23" s="47" t="s">
        <v>1328</v>
      </c>
    </row>
    <row r="24" spans="2:3" ht="28.8" x14ac:dyDescent="0.3">
      <c r="B24" s="97">
        <v>43620</v>
      </c>
      <c r="C24" s="47" t="s">
        <v>1343</v>
      </c>
    </row>
    <row r="25" spans="2:3" ht="28.8" x14ac:dyDescent="0.3">
      <c r="B25" s="97">
        <v>43630</v>
      </c>
      <c r="C25" s="47" t="s">
        <v>1346</v>
      </c>
    </row>
    <row r="26" spans="2:3" x14ac:dyDescent="0.3">
      <c r="B26" s="97">
        <v>43676</v>
      </c>
      <c r="C26" s="47" t="s">
        <v>1352</v>
      </c>
    </row>
    <row r="27" spans="2:3" x14ac:dyDescent="0.3">
      <c r="B27" s="97">
        <v>43691</v>
      </c>
      <c r="C27" s="47" t="s">
        <v>1355</v>
      </c>
    </row>
    <row r="28" spans="2:3" ht="57.6" x14ac:dyDescent="0.3">
      <c r="B28" s="97">
        <v>43732</v>
      </c>
      <c r="C28" s="47" t="s">
        <v>1374</v>
      </c>
    </row>
    <row r="29" spans="2:3" ht="57.6" x14ac:dyDescent="0.3">
      <c r="B29" s="97">
        <v>43834</v>
      </c>
      <c r="C29" s="47" t="s">
        <v>1406</v>
      </c>
    </row>
    <row r="30" spans="2:3" ht="86.4" x14ac:dyDescent="0.3">
      <c r="B30" s="97">
        <v>43983</v>
      </c>
      <c r="C30" s="47" t="s">
        <v>1440</v>
      </c>
    </row>
    <row r="31" spans="2:3" ht="43.2" x14ac:dyDescent="0.3">
      <c r="B31" s="97" t="s">
        <v>1414</v>
      </c>
      <c r="C31" s="47" t="s">
        <v>1441</v>
      </c>
    </row>
    <row r="32" spans="2:3" x14ac:dyDescent="0.3">
      <c r="B32" s="97"/>
    </row>
    <row r="33" spans="2:4" x14ac:dyDescent="0.3">
      <c r="B33" s="97"/>
    </row>
    <row r="34" spans="2:4" x14ac:dyDescent="0.3">
      <c r="B34" s="97"/>
    </row>
    <row r="35" spans="2:4" x14ac:dyDescent="0.3">
      <c r="B35" s="97"/>
    </row>
    <row r="36" spans="2:4" x14ac:dyDescent="0.3">
      <c r="B36" s="97"/>
    </row>
    <row r="37" spans="2:4" x14ac:dyDescent="0.3">
      <c r="B37" s="97"/>
    </row>
    <row r="38" spans="2:4" x14ac:dyDescent="0.3">
      <c r="C38" s="47" t="s">
        <v>0</v>
      </c>
      <c r="D38" t="s">
        <v>1163</v>
      </c>
    </row>
    <row r="39" spans="2:4" ht="28.8" x14ac:dyDescent="0.3">
      <c r="B39">
        <v>1</v>
      </c>
      <c r="C39" s="47" t="s">
        <v>1</v>
      </c>
      <c r="D39" t="s">
        <v>1162</v>
      </c>
    </row>
    <row r="40" spans="2:4" x14ac:dyDescent="0.3">
      <c r="B40">
        <f>B39+1</f>
        <v>2</v>
      </c>
      <c r="C40" s="47" t="s">
        <v>2</v>
      </c>
    </row>
    <row r="41" spans="2:4" x14ac:dyDescent="0.3">
      <c r="B41">
        <f t="shared" ref="B41:B52" si="0">B40+1</f>
        <v>3</v>
      </c>
      <c r="C41" s="47" t="s">
        <v>3</v>
      </c>
    </row>
    <row r="42" spans="2:4" ht="28.8" x14ac:dyDescent="0.3">
      <c r="B42">
        <f t="shared" si="0"/>
        <v>4</v>
      </c>
      <c r="C42" s="47" t="s">
        <v>806</v>
      </c>
      <c r="D42" t="s">
        <v>1162</v>
      </c>
    </row>
    <row r="43" spans="2:4" x14ac:dyDescent="0.3">
      <c r="B43">
        <f t="shared" si="0"/>
        <v>5</v>
      </c>
      <c r="C43" s="47" t="s">
        <v>905</v>
      </c>
      <c r="D43" t="s">
        <v>1174</v>
      </c>
    </row>
    <row r="44" spans="2:4" x14ac:dyDescent="0.3">
      <c r="B44">
        <f t="shared" si="0"/>
        <v>6</v>
      </c>
      <c r="C44" s="47" t="s">
        <v>1175</v>
      </c>
      <c r="D44" t="s">
        <v>1162</v>
      </c>
    </row>
    <row r="45" spans="2:4" ht="28.8" x14ac:dyDescent="0.3">
      <c r="B45">
        <f t="shared" si="0"/>
        <v>7</v>
      </c>
      <c r="C45" s="47" t="s">
        <v>1121</v>
      </c>
      <c r="D45" t="s">
        <v>1162</v>
      </c>
    </row>
    <row r="46" spans="2:4" x14ac:dyDescent="0.3">
      <c r="B46">
        <f t="shared" si="0"/>
        <v>8</v>
      </c>
      <c r="C46" s="47" t="s">
        <v>1135</v>
      </c>
      <c r="D46" t="s">
        <v>1162</v>
      </c>
    </row>
    <row r="47" spans="2:4" x14ac:dyDescent="0.3">
      <c r="B47">
        <f t="shared" si="0"/>
        <v>9</v>
      </c>
      <c r="C47" s="47" t="s">
        <v>1136</v>
      </c>
      <c r="D47" t="s">
        <v>1173</v>
      </c>
    </row>
    <row r="48" spans="2:4" x14ac:dyDescent="0.3">
      <c r="B48">
        <f t="shared" si="0"/>
        <v>10</v>
      </c>
      <c r="C48" s="47" t="s">
        <v>1141</v>
      </c>
      <c r="D48" t="s">
        <v>1162</v>
      </c>
    </row>
    <row r="49" spans="2:4" x14ac:dyDescent="0.3">
      <c r="B49">
        <f t="shared" si="0"/>
        <v>11</v>
      </c>
      <c r="C49" s="47" t="s">
        <v>1142</v>
      </c>
    </row>
    <row r="50" spans="2:4" x14ac:dyDescent="0.3">
      <c r="B50">
        <f t="shared" si="0"/>
        <v>12</v>
      </c>
      <c r="C50" s="47" t="s">
        <v>1164</v>
      </c>
    </row>
    <row r="51" spans="2:4" x14ac:dyDescent="0.3">
      <c r="B51">
        <f t="shared" si="0"/>
        <v>13</v>
      </c>
      <c r="C51" s="47" t="s">
        <v>1146</v>
      </c>
    </row>
    <row r="52" spans="2:4" x14ac:dyDescent="0.3">
      <c r="B52">
        <f t="shared" si="0"/>
        <v>14</v>
      </c>
      <c r="C52" s="47" t="s">
        <v>1147</v>
      </c>
    </row>
    <row r="53" spans="2:4" x14ac:dyDescent="0.3">
      <c r="B53">
        <v>15</v>
      </c>
      <c r="C53" s="47" t="s">
        <v>1148</v>
      </c>
    </row>
    <row r="54" spans="2:4" x14ac:dyDescent="0.3">
      <c r="B54">
        <v>16</v>
      </c>
      <c r="C54" s="47" t="s">
        <v>1149</v>
      </c>
      <c r="D54" t="s">
        <v>1162</v>
      </c>
    </row>
    <row r="55" spans="2:4" x14ac:dyDescent="0.3">
      <c r="B55">
        <v>17</v>
      </c>
      <c r="C55" s="47" t="s">
        <v>1153</v>
      </c>
      <c r="D55" t="s">
        <v>1162</v>
      </c>
    </row>
    <row r="56" spans="2:4" x14ac:dyDescent="0.3">
      <c r="B56">
        <v>18</v>
      </c>
      <c r="C56" s="47" t="s">
        <v>1381</v>
      </c>
    </row>
    <row r="57" spans="2:4" x14ac:dyDescent="0.3">
      <c r="B57">
        <v>19</v>
      </c>
      <c r="C57" s="47" t="s">
        <v>1189</v>
      </c>
    </row>
    <row r="58" spans="2:4" x14ac:dyDescent="0.3">
      <c r="B58">
        <v>20</v>
      </c>
      <c r="C58" s="47" t="s">
        <v>1190</v>
      </c>
    </row>
    <row r="59" spans="2:4" x14ac:dyDescent="0.3">
      <c r="B59">
        <v>21</v>
      </c>
      <c r="C59" s="47" t="s">
        <v>1192</v>
      </c>
      <c r="D59" t="s">
        <v>1162</v>
      </c>
    </row>
    <row r="60" spans="2:4" x14ac:dyDescent="0.3">
      <c r="B60">
        <v>22</v>
      </c>
      <c r="C60" s="47" t="s">
        <v>1201</v>
      </c>
    </row>
    <row r="61" spans="2:4" x14ac:dyDescent="0.3">
      <c r="B61">
        <v>23</v>
      </c>
      <c r="C61" s="47" t="s">
        <v>1219</v>
      </c>
    </row>
    <row r="62" spans="2:4" x14ac:dyDescent="0.3">
      <c r="B62">
        <v>24</v>
      </c>
      <c r="C62" s="47" t="s">
        <v>1237</v>
      </c>
    </row>
    <row r="63" spans="2:4" x14ac:dyDescent="0.3">
      <c r="B63">
        <v>25</v>
      </c>
      <c r="C63" s="47" t="s">
        <v>1240</v>
      </c>
    </row>
    <row r="64" spans="2:4" x14ac:dyDescent="0.3">
      <c r="B64">
        <v>26</v>
      </c>
      <c r="C64" s="47" t="s">
        <v>1257</v>
      </c>
    </row>
    <row r="65" spans="2:3" x14ac:dyDescent="0.3">
      <c r="B65">
        <v>27</v>
      </c>
      <c r="C65" s="47" t="s">
        <v>1329</v>
      </c>
    </row>
    <row r="66" spans="2:3" x14ac:dyDescent="0.3">
      <c r="B66">
        <v>28</v>
      </c>
      <c r="C66" s="47" t="s">
        <v>1382</v>
      </c>
    </row>
    <row r="67" spans="2:3" x14ac:dyDescent="0.3">
      <c r="B67">
        <v>29</v>
      </c>
      <c r="C67" s="47" t="s">
        <v>1383</v>
      </c>
    </row>
    <row r="68" spans="2:3" x14ac:dyDescent="0.3">
      <c r="B68">
        <v>30</v>
      </c>
      <c r="C68" s="47" t="s">
        <v>1384</v>
      </c>
    </row>
    <row r="69" spans="2:3" x14ac:dyDescent="0.3">
      <c r="B69">
        <v>31</v>
      </c>
      <c r="C69" s="47" t="s">
        <v>1430</v>
      </c>
    </row>
    <row r="70" spans="2:3" ht="28.8" x14ac:dyDescent="0.3">
      <c r="B70">
        <v>32</v>
      </c>
      <c r="C70" s="47" t="s">
        <v>1431</v>
      </c>
    </row>
    <row r="72" spans="2:3" x14ac:dyDescent="0.3">
      <c r="C72" s="47" t="s">
        <v>4</v>
      </c>
    </row>
    <row r="73" spans="2:3" ht="43.2" x14ac:dyDescent="0.3">
      <c r="B73">
        <v>1</v>
      </c>
      <c r="C73" s="47" t="s">
        <v>5</v>
      </c>
    </row>
    <row r="74" spans="2:3" ht="28.8" x14ac:dyDescent="0.3">
      <c r="B74">
        <f>B73+1</f>
        <v>2</v>
      </c>
      <c r="C74" s="47" t="s">
        <v>6</v>
      </c>
    </row>
    <row r="75" spans="2:3" ht="28.8" x14ac:dyDescent="0.3">
      <c r="B75">
        <f t="shared" ref="B75:B82" si="1">B74+1</f>
        <v>3</v>
      </c>
      <c r="C75" s="47" t="s">
        <v>775</v>
      </c>
    </row>
    <row r="76" spans="2:3" x14ac:dyDescent="0.3">
      <c r="B76">
        <f t="shared" si="1"/>
        <v>4</v>
      </c>
      <c r="C76" s="47" t="s">
        <v>776</v>
      </c>
    </row>
    <row r="77" spans="2:3" x14ac:dyDescent="0.3">
      <c r="B77">
        <f t="shared" si="1"/>
        <v>5</v>
      </c>
    </row>
    <row r="78" spans="2:3" x14ac:dyDescent="0.3">
      <c r="B78">
        <f t="shared" si="1"/>
        <v>6</v>
      </c>
    </row>
    <row r="79" spans="2:3" x14ac:dyDescent="0.3">
      <c r="B79">
        <f t="shared" si="1"/>
        <v>7</v>
      </c>
    </row>
    <row r="80" spans="2:3" x14ac:dyDescent="0.3">
      <c r="B80">
        <f t="shared" si="1"/>
        <v>8</v>
      </c>
    </row>
    <row r="81" spans="2:2" x14ac:dyDescent="0.3">
      <c r="B81">
        <f t="shared" si="1"/>
        <v>9</v>
      </c>
    </row>
    <row r="82" spans="2:2" x14ac:dyDescent="0.3">
      <c r="B82">
        <f t="shared" si="1"/>
        <v>10</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W61"/>
  <sheetViews>
    <sheetView zoomScale="67" zoomScaleNormal="115" workbookViewId="0">
      <selection activeCell="P16" sqref="P16"/>
    </sheetView>
  </sheetViews>
  <sheetFormatPr defaultColWidth="8.88671875" defaultRowHeight="14.4" x14ac:dyDescent="0.3"/>
  <cols>
    <col min="2" max="2" width="37.5546875" bestFit="1" customWidth="1"/>
    <col min="3" max="3" width="10.77734375" bestFit="1" customWidth="1"/>
    <col min="4" max="4" width="41.33203125" bestFit="1" customWidth="1"/>
    <col min="5" max="5" width="13.44140625" bestFit="1" customWidth="1"/>
    <col min="6" max="6" width="27.44140625" customWidth="1"/>
    <col min="7" max="7" width="23.6640625" bestFit="1" customWidth="1"/>
    <col min="8" max="8" width="11.6640625" customWidth="1"/>
    <col min="9" max="9" width="10.33203125" bestFit="1" customWidth="1"/>
    <col min="10" max="10" width="23.88671875" bestFit="1" customWidth="1"/>
    <col min="11" max="11" width="11.6640625" bestFit="1" customWidth="1"/>
    <col min="12" max="13" width="11.6640625" customWidth="1"/>
    <col min="14" max="14" width="16" bestFit="1" customWidth="1"/>
    <col min="15" max="15" width="14.33203125" bestFit="1" customWidth="1"/>
    <col min="16" max="16" width="12.33203125" bestFit="1" customWidth="1"/>
    <col min="17" max="17" width="37.44140625" bestFit="1" customWidth="1"/>
    <col min="18" max="18" width="22.109375" bestFit="1" customWidth="1"/>
    <col min="19" max="19" width="20.6640625" bestFit="1" customWidth="1"/>
    <col min="20" max="20" width="20.5546875" bestFit="1" customWidth="1"/>
    <col min="21" max="21" width="15.109375" bestFit="1" customWidth="1"/>
    <col min="22" max="22" width="12.5546875" bestFit="1" customWidth="1"/>
  </cols>
  <sheetData>
    <row r="1" spans="1:23" x14ac:dyDescent="0.3">
      <c r="B1" t="s">
        <v>655</v>
      </c>
      <c r="C1" s="31">
        <f>C26</f>
        <v>393750</v>
      </c>
      <c r="D1" s="41"/>
      <c r="E1" s="41" t="s">
        <v>56</v>
      </c>
      <c r="F1" s="41" t="s">
        <v>55</v>
      </c>
      <c r="G1" s="41" t="s">
        <v>354</v>
      </c>
      <c r="H1" s="41" t="s">
        <v>654</v>
      </c>
    </row>
    <row r="2" spans="1:23" x14ac:dyDescent="0.3">
      <c r="B2" t="s">
        <v>7</v>
      </c>
      <c r="C2" s="31">
        <f>'Packages Inputs and Outputs'!G3</f>
        <v>160478.32045448435</v>
      </c>
      <c r="D2" s="61" t="s">
        <v>653</v>
      </c>
      <c r="E2" s="55">
        <f>'Attributes Calculations'!$C$2</f>
        <v>315000</v>
      </c>
      <c r="F2" s="55">
        <f>'Attributes Inputs and Outputs'!$C$26</f>
        <v>393750</v>
      </c>
      <c r="G2" s="55">
        <f>F2-E2</f>
        <v>78750</v>
      </c>
      <c r="H2" s="55">
        <f>F2/'Attributes Inputs and Outputs'!$D$15</f>
        <v>171.27011744236626</v>
      </c>
      <c r="J2" s="55"/>
      <c r="K2" s="55"/>
      <c r="M2" s="55"/>
      <c r="N2" s="55"/>
    </row>
    <row r="3" spans="1:23" x14ac:dyDescent="0.3">
      <c r="B3" t="s">
        <v>8</v>
      </c>
      <c r="C3" s="31">
        <f>SUM(C1:C2)</f>
        <v>554228.32045448432</v>
      </c>
      <c r="D3" s="61" t="s">
        <v>350</v>
      </c>
      <c r="E3" s="55">
        <f>SUM('Packages Inputs and Outputs'!K8:K65)</f>
        <v>139152.25132688083</v>
      </c>
      <c r="F3" s="55">
        <f>SUM('Packages Inputs and Outputs'!F8:F65)</f>
        <v>160025.08902591292</v>
      </c>
      <c r="G3" s="55">
        <f>F3-E3</f>
        <v>20872.837699032098</v>
      </c>
      <c r="H3" s="55">
        <f>F3/'Attributes Inputs and Outputs'!$D$15</f>
        <v>69.606389310966904</v>
      </c>
      <c r="J3" s="55"/>
      <c r="K3" s="55"/>
      <c r="M3" s="55"/>
      <c r="N3" s="55"/>
    </row>
    <row r="4" spans="1:23" x14ac:dyDescent="0.3">
      <c r="D4" s="61" t="s">
        <v>652</v>
      </c>
      <c r="E4" s="55">
        <f>SUM(E2:E3)</f>
        <v>454152.25132688083</v>
      </c>
      <c r="F4" s="55">
        <f>SUM(F2:F3)</f>
        <v>553775.08902591292</v>
      </c>
      <c r="G4" s="55">
        <f>F4-E4</f>
        <v>99622.837699032098</v>
      </c>
      <c r="H4" s="55">
        <f>F4/'Attributes Inputs and Outputs'!$D$15</f>
        <v>240.87650675333316</v>
      </c>
      <c r="J4" s="55"/>
      <c r="K4" s="55"/>
      <c r="M4" s="55"/>
      <c r="N4" s="55"/>
    </row>
    <row r="6" spans="1:23" x14ac:dyDescent="0.3">
      <c r="B6" s="59" t="s">
        <v>9</v>
      </c>
      <c r="C6" s="59" t="s">
        <v>10</v>
      </c>
      <c r="D6" s="59" t="s">
        <v>11</v>
      </c>
      <c r="E6" s="59" t="s">
        <v>12</v>
      </c>
      <c r="F6" s="59" t="s">
        <v>13</v>
      </c>
      <c r="G6" s="109" t="s">
        <v>14</v>
      </c>
      <c r="H6" s="109"/>
      <c r="I6" s="59" t="s">
        <v>15</v>
      </c>
      <c r="J6" s="59" t="s">
        <v>16</v>
      </c>
      <c r="L6" s="59" t="s">
        <v>17</v>
      </c>
      <c r="M6" s="59"/>
      <c r="N6" s="59"/>
      <c r="O6" s="59" t="s">
        <v>18</v>
      </c>
      <c r="Q6" s="19" t="s">
        <v>19</v>
      </c>
      <c r="R6" s="19"/>
      <c r="S6" t="s">
        <v>18</v>
      </c>
      <c r="T6" t="s">
        <v>18</v>
      </c>
      <c r="U6" t="s">
        <v>18</v>
      </c>
      <c r="V6" s="102"/>
      <c r="W6" s="102"/>
    </row>
    <row r="7" spans="1:23" x14ac:dyDescent="0.3">
      <c r="B7" s="59"/>
      <c r="C7" s="59"/>
      <c r="D7" t="s">
        <v>20</v>
      </c>
      <c r="E7" s="59"/>
      <c r="F7" s="59"/>
      <c r="G7" s="59"/>
      <c r="H7" s="59"/>
      <c r="I7" s="59"/>
      <c r="J7" s="59"/>
      <c r="K7" s="59" t="s">
        <v>12</v>
      </c>
      <c r="L7" s="59" t="s">
        <v>21</v>
      </c>
      <c r="M7" s="59" t="s">
        <v>22</v>
      </c>
      <c r="N7" s="59" t="s">
        <v>23</v>
      </c>
      <c r="O7" s="59" t="s">
        <v>24</v>
      </c>
      <c r="P7" s="59" t="s">
        <v>25</v>
      </c>
      <c r="Q7" s="59" t="s">
        <v>26</v>
      </c>
      <c r="R7" s="59" t="s">
        <v>27</v>
      </c>
      <c r="S7" s="59" t="s">
        <v>791</v>
      </c>
      <c r="T7" s="59" t="s">
        <v>1115</v>
      </c>
      <c r="U7" s="59" t="s">
        <v>1258</v>
      </c>
      <c r="V7" s="102"/>
      <c r="W7" s="102"/>
    </row>
    <row r="8" spans="1:23" x14ac:dyDescent="0.3">
      <c r="A8" s="33" t="s">
        <v>30</v>
      </c>
      <c r="B8" s="4">
        <v>3</v>
      </c>
      <c r="C8" s="4">
        <v>3</v>
      </c>
      <c r="D8" s="4" t="s">
        <v>1443</v>
      </c>
      <c r="E8" s="4" t="s">
        <v>31</v>
      </c>
      <c r="F8" s="4" t="s">
        <v>332</v>
      </c>
      <c r="G8" t="s">
        <v>33</v>
      </c>
      <c r="H8" s="4" t="s">
        <v>38</v>
      </c>
      <c r="I8" s="4">
        <v>2</v>
      </c>
      <c r="J8" s="4">
        <v>2</v>
      </c>
      <c r="K8">
        <f>IF(E8='Defaults and Ranges'!G24, 'Attributes Inputs and Outputs'!L8, 'Attributes Inputs and Outputs'!K10)</f>
        <v>9</v>
      </c>
      <c r="L8" s="4">
        <v>9</v>
      </c>
      <c r="M8">
        <f>IF(J8=1, L8, M10)</f>
        <v>9</v>
      </c>
      <c r="N8" s="4">
        <v>0</v>
      </c>
      <c r="O8" s="4" t="s">
        <v>341</v>
      </c>
      <c r="P8" s="4" t="s">
        <v>36</v>
      </c>
      <c r="Q8" s="4" t="s">
        <v>333</v>
      </c>
      <c r="R8" s="4" t="s">
        <v>38</v>
      </c>
      <c r="S8" s="4" t="s">
        <v>792</v>
      </c>
      <c r="T8" s="4" t="s">
        <v>38</v>
      </c>
      <c r="U8" s="4" t="s">
        <v>1267</v>
      </c>
      <c r="V8" s="102"/>
      <c r="W8" s="102"/>
    </row>
    <row r="9" spans="1:23" x14ac:dyDescent="0.3">
      <c r="G9" t="s">
        <v>39</v>
      </c>
      <c r="H9" s="4" t="s">
        <v>38</v>
      </c>
      <c r="K9" t="s">
        <v>40</v>
      </c>
      <c r="M9" t="s">
        <v>40</v>
      </c>
    </row>
    <row r="10" spans="1:23" x14ac:dyDescent="0.3">
      <c r="G10" t="s">
        <v>41</v>
      </c>
      <c r="H10" s="4" t="s">
        <v>38</v>
      </c>
      <c r="K10" s="4">
        <v>9</v>
      </c>
      <c r="M10" s="4">
        <v>9</v>
      </c>
      <c r="U10" s="26">
        <f>LOOKUP(U8, 'Defaults and Ranges'!S35:S44, 'Defaults and Ranges'!U35:U44)</f>
        <v>1</v>
      </c>
    </row>
    <row r="11" spans="1:23" x14ac:dyDescent="0.3">
      <c r="G11" t="s">
        <v>42</v>
      </c>
      <c r="H11" s="4" t="s">
        <v>38</v>
      </c>
    </row>
    <row r="12" spans="1:23" x14ac:dyDescent="0.3">
      <c r="D12" s="102"/>
      <c r="F12" s="47"/>
      <c r="G12" t="s">
        <v>43</v>
      </c>
      <c r="H12" s="4" t="s">
        <v>38</v>
      </c>
    </row>
    <row r="13" spans="1:23" x14ac:dyDescent="0.3">
      <c r="G13" t="s">
        <v>44</v>
      </c>
      <c r="H13" s="4" t="s">
        <v>38</v>
      </c>
      <c r="K13" s="1"/>
    </row>
    <row r="14" spans="1:23" x14ac:dyDescent="0.3">
      <c r="D14" s="42" t="s">
        <v>1342</v>
      </c>
      <c r="G14" t="s">
        <v>46</v>
      </c>
      <c r="H14" s="4" t="s">
        <v>38</v>
      </c>
    </row>
    <row r="15" spans="1:23" x14ac:dyDescent="0.3">
      <c r="B15" s="11"/>
      <c r="D15" s="56">
        <f>'Attributes Back Calcs'!G12</f>
        <v>2299</v>
      </c>
      <c r="G15" t="s">
        <v>47</v>
      </c>
      <c r="H15" s="4" t="s">
        <v>38</v>
      </c>
    </row>
    <row r="16" spans="1:23" x14ac:dyDescent="0.3">
      <c r="D16" s="42" t="s">
        <v>1344</v>
      </c>
      <c r="G16" t="s">
        <v>48</v>
      </c>
      <c r="H16" s="4" t="s">
        <v>38</v>
      </c>
    </row>
    <row r="17" spans="1:21" x14ac:dyDescent="0.3">
      <c r="D17" s="86">
        <f>D15+IF(H17='Defaults and Ranges'!K33, 'Attributes Calculations'!Q14,0)</f>
        <v>2299</v>
      </c>
      <c r="G17" t="s">
        <v>615</v>
      </c>
      <c r="H17" s="4" t="s">
        <v>38</v>
      </c>
    </row>
    <row r="18" spans="1:21" x14ac:dyDescent="0.3">
      <c r="D18" t="s">
        <v>1283</v>
      </c>
      <c r="G18" t="s">
        <v>657</v>
      </c>
      <c r="H18" s="4" t="s">
        <v>38</v>
      </c>
    </row>
    <row r="19" spans="1:21" x14ac:dyDescent="0.3">
      <c r="D19" s="3">
        <f>'Attributes Back Calcs'!G10</f>
        <v>2299</v>
      </c>
      <c r="G19" t="s">
        <v>674</v>
      </c>
      <c r="H19" s="4" t="s">
        <v>38</v>
      </c>
    </row>
    <row r="20" spans="1:21" x14ac:dyDescent="0.3">
      <c r="D20" s="42" t="s">
        <v>12</v>
      </c>
      <c r="G20" t="s">
        <v>29</v>
      </c>
      <c r="H20" s="4" t="s">
        <v>38</v>
      </c>
    </row>
    <row r="21" spans="1:21" x14ac:dyDescent="0.3">
      <c r="D21" s="95">
        <f>'Attributes Back Calcs'!G18</f>
        <v>0</v>
      </c>
      <c r="G21" t="s">
        <v>788</v>
      </c>
      <c r="H21" s="4" t="s">
        <v>38</v>
      </c>
    </row>
    <row r="22" spans="1:21" x14ac:dyDescent="0.3">
      <c r="D22" s="42" t="s">
        <v>615</v>
      </c>
      <c r="G22" t="s">
        <v>107</v>
      </c>
      <c r="H22" s="4" t="s">
        <v>38</v>
      </c>
    </row>
    <row r="23" spans="1:21" x14ac:dyDescent="0.3">
      <c r="D23" s="95">
        <f>IF(H17='Defaults and Ranges'!K33, 'Attributes Calculations'!Q14,0)</f>
        <v>0</v>
      </c>
    </row>
    <row r="24" spans="1:21" x14ac:dyDescent="0.3">
      <c r="D24" s="42" t="s">
        <v>1230</v>
      </c>
    </row>
    <row r="25" spans="1:21" x14ac:dyDescent="0.3">
      <c r="B25" t="s">
        <v>49</v>
      </c>
      <c r="C25" s="88">
        <f>SUM(B30:F30,H30:H44,I30:U30)</f>
        <v>0</v>
      </c>
      <c r="D25" s="96">
        <f>D19+D21+D23</f>
        <v>2299</v>
      </c>
    </row>
    <row r="26" spans="1:21" x14ac:dyDescent="0.3">
      <c r="B26" t="s">
        <v>50</v>
      </c>
      <c r="C26" s="88">
        <f>C25+'Defaults and Ranges'!C1</f>
        <v>393750</v>
      </c>
    </row>
    <row r="28" spans="1:21" ht="15" customHeight="1" x14ac:dyDescent="0.3">
      <c r="B28" s="59" t="s">
        <v>9</v>
      </c>
      <c r="C28" s="59" t="s">
        <v>10</v>
      </c>
      <c r="D28" s="59" t="s">
        <v>11</v>
      </c>
      <c r="E28" s="59" t="s">
        <v>12</v>
      </c>
      <c r="F28" s="59" t="s">
        <v>13</v>
      </c>
      <c r="G28" s="109" t="s">
        <v>789</v>
      </c>
      <c r="H28" s="109"/>
      <c r="I28" s="59" t="s">
        <v>15</v>
      </c>
      <c r="J28" s="59" t="s">
        <v>16</v>
      </c>
      <c r="L28" s="59" t="s">
        <v>17</v>
      </c>
      <c r="M28" s="59"/>
      <c r="N28" s="59"/>
      <c r="O28" s="59" t="s">
        <v>18</v>
      </c>
      <c r="Q28" s="59" t="s">
        <v>52</v>
      </c>
      <c r="R28" s="59" t="s">
        <v>53</v>
      </c>
      <c r="S28" s="59" t="s">
        <v>791</v>
      </c>
      <c r="T28" s="59" t="s">
        <v>1115</v>
      </c>
      <c r="U28" s="59" t="s">
        <v>1258</v>
      </c>
    </row>
    <row r="29" spans="1:21" x14ac:dyDescent="0.3">
      <c r="A29" s="32" t="s">
        <v>54</v>
      </c>
      <c r="B29" s="31"/>
      <c r="C29" s="31"/>
      <c r="D29" s="31"/>
      <c r="E29" s="31"/>
      <c r="F29" s="31"/>
      <c r="G29" s="31"/>
      <c r="H29" s="31"/>
      <c r="I29" s="31"/>
      <c r="J29" s="31"/>
      <c r="K29" s="31"/>
      <c r="L29" s="31"/>
      <c r="M29" s="31"/>
      <c r="N29" s="31"/>
      <c r="O29" s="31"/>
      <c r="P29" s="31"/>
      <c r="Q29" s="31"/>
      <c r="R29" s="31"/>
      <c r="S29" s="31"/>
    </row>
    <row r="30" spans="1:21" x14ac:dyDescent="0.3">
      <c r="B30" s="87">
        <f>'Attributes Calculations'!C6</f>
        <v>0</v>
      </c>
      <c r="C30" s="87">
        <f>'Attributes Calculations'!D6</f>
        <v>0</v>
      </c>
      <c r="D30" s="87">
        <f>'Attributes Calculations'!E6</f>
        <v>0</v>
      </c>
      <c r="E30" s="87">
        <f>'Attributes Calculations'!F6</f>
        <v>0</v>
      </c>
      <c r="F30" s="87">
        <f>'Attributes Calculations'!G6</f>
        <v>0</v>
      </c>
      <c r="G30" t="s">
        <v>33</v>
      </c>
      <c r="H30" s="87">
        <f>'Attributes Calculations'!H6</f>
        <v>0</v>
      </c>
      <c r="I30" s="87">
        <f>'Attributes Calculations'!T6</f>
        <v>0</v>
      </c>
      <c r="J30" s="87">
        <f>'Attributes Calculations'!U6</f>
        <v>0</v>
      </c>
      <c r="K30" s="87">
        <f>'Attributes Calculations'!V6</f>
        <v>0</v>
      </c>
      <c r="L30" s="87">
        <f>'Attributes Calculations'!W6</f>
        <v>0</v>
      </c>
      <c r="M30" s="87">
        <f>'Attributes Calculations'!X6</f>
        <v>0</v>
      </c>
      <c r="N30" s="87">
        <f>'Attributes Calculations'!Y6</f>
        <v>0</v>
      </c>
      <c r="O30" s="87">
        <f>'Attributes Calculations'!Z6</f>
        <v>0</v>
      </c>
      <c r="P30" s="87">
        <f>'Attributes Calculations'!AC6</f>
        <v>0</v>
      </c>
      <c r="Q30" s="87">
        <f>'Attributes Calculations'!AF6</f>
        <v>0</v>
      </c>
      <c r="R30" s="87">
        <f>'Attributes Calculations'!AH6</f>
        <v>0</v>
      </c>
      <c r="S30" s="87">
        <f>'Attributes Calculations'!AD6</f>
        <v>0</v>
      </c>
      <c r="T30" s="87">
        <f>'Attributes Calculations'!AE6</f>
        <v>0</v>
      </c>
      <c r="U30" s="87">
        <f>'Attributes Calculations'!AA6</f>
        <v>0</v>
      </c>
    </row>
    <row r="31" spans="1:21" x14ac:dyDescent="0.3">
      <c r="G31" t="s">
        <v>39</v>
      </c>
      <c r="H31" s="87">
        <f>'Attributes Calculations'!I6</f>
        <v>0</v>
      </c>
      <c r="I31" s="30"/>
      <c r="J31" s="30"/>
      <c r="K31" s="30"/>
      <c r="L31" s="30"/>
      <c r="M31" s="30"/>
      <c r="N31" s="30"/>
      <c r="O31" s="30"/>
      <c r="P31" s="30"/>
      <c r="Q31" s="30"/>
    </row>
    <row r="32" spans="1:21" x14ac:dyDescent="0.3">
      <c r="C32" s="62"/>
      <c r="G32" t="s">
        <v>41</v>
      </c>
      <c r="H32" s="87">
        <f>'Attributes Calculations'!J6</f>
        <v>0</v>
      </c>
      <c r="I32" s="30"/>
      <c r="J32" s="30"/>
      <c r="K32" s="30"/>
      <c r="L32" s="30"/>
      <c r="M32" s="30"/>
      <c r="N32" s="30"/>
      <c r="O32" s="30"/>
      <c r="P32" s="30"/>
      <c r="Q32" s="30"/>
    </row>
    <row r="33" spans="2:19" x14ac:dyDescent="0.3">
      <c r="C33" s="31"/>
      <c r="G33" t="s">
        <v>42</v>
      </c>
      <c r="H33" s="87">
        <f>'Attributes Calculations'!K6</f>
        <v>0</v>
      </c>
      <c r="I33" s="30"/>
      <c r="J33" s="30"/>
      <c r="K33" s="30"/>
      <c r="L33" s="30"/>
      <c r="M33" s="30"/>
      <c r="N33" s="30"/>
      <c r="O33" s="30"/>
      <c r="P33" s="30"/>
      <c r="Q33" s="30"/>
    </row>
    <row r="34" spans="2:19" x14ac:dyDescent="0.3">
      <c r="C34" s="31"/>
      <c r="D34" s="31"/>
      <c r="E34" s="31"/>
      <c r="G34" t="s">
        <v>43</v>
      </c>
      <c r="H34" s="87">
        <f>'Attributes Calculations'!L6</f>
        <v>0</v>
      </c>
      <c r="I34" s="30"/>
      <c r="J34" s="30"/>
      <c r="K34" s="30"/>
      <c r="L34" s="30"/>
      <c r="M34" s="30"/>
      <c r="N34" s="30"/>
      <c r="O34" s="30"/>
      <c r="P34" s="30"/>
      <c r="Q34" s="30"/>
    </row>
    <row r="35" spans="2:19" x14ac:dyDescent="0.3">
      <c r="C35" s="31"/>
      <c r="E35" s="31"/>
      <c r="G35" t="s">
        <v>44</v>
      </c>
      <c r="H35" s="87">
        <f>'Attributes Calculations'!M6</f>
        <v>0</v>
      </c>
      <c r="I35" s="30"/>
      <c r="J35" s="30"/>
      <c r="K35" s="30"/>
      <c r="L35" s="30"/>
      <c r="M35" s="30"/>
      <c r="N35" s="30"/>
      <c r="O35" s="30"/>
      <c r="P35" s="30"/>
      <c r="Q35" s="30"/>
    </row>
    <row r="36" spans="2:19" x14ac:dyDescent="0.3">
      <c r="G36" t="s">
        <v>46</v>
      </c>
      <c r="H36" s="87">
        <f>'Attributes Calculations'!N6</f>
        <v>0</v>
      </c>
    </row>
    <row r="37" spans="2:19" x14ac:dyDescent="0.3">
      <c r="G37" t="s">
        <v>47</v>
      </c>
      <c r="H37" s="87">
        <f>'Attributes Calculations'!O6</f>
        <v>0</v>
      </c>
    </row>
    <row r="38" spans="2:19" x14ac:dyDescent="0.3">
      <c r="G38" t="s">
        <v>48</v>
      </c>
      <c r="H38" s="87">
        <f>'Attributes Calculations'!P6</f>
        <v>0</v>
      </c>
    </row>
    <row r="39" spans="2:19" x14ac:dyDescent="0.3">
      <c r="G39" t="s">
        <v>615</v>
      </c>
      <c r="H39" s="87">
        <f>'Attributes Calculations'!Q6</f>
        <v>0</v>
      </c>
    </row>
    <row r="40" spans="2:19" x14ac:dyDescent="0.3">
      <c r="G40" t="s">
        <v>657</v>
      </c>
      <c r="H40" s="87">
        <f>'Attributes Calculations'!R6</f>
        <v>0</v>
      </c>
    </row>
    <row r="41" spans="2:19" x14ac:dyDescent="0.3">
      <c r="G41" t="s">
        <v>674</v>
      </c>
      <c r="H41" s="87">
        <f>'Attributes Calculations'!S6</f>
        <v>0</v>
      </c>
    </row>
    <row r="42" spans="2:19" x14ac:dyDescent="0.3">
      <c r="G42" t="s">
        <v>29</v>
      </c>
      <c r="H42" s="87">
        <f>'Attributes Calculations'!AJ6</f>
        <v>0</v>
      </c>
    </row>
    <row r="43" spans="2:19" x14ac:dyDescent="0.3">
      <c r="G43" t="s">
        <v>788</v>
      </c>
      <c r="H43" s="87">
        <f>'Attributes Calculations'!AI6</f>
        <v>0</v>
      </c>
    </row>
    <row r="44" spans="2:19" x14ac:dyDescent="0.3">
      <c r="G44" t="s">
        <v>107</v>
      </c>
      <c r="H44" s="87">
        <f>'Attributes Calculations'!AK6</f>
        <v>0</v>
      </c>
    </row>
    <row r="48" spans="2:19" x14ac:dyDescent="0.3">
      <c r="B48" s="31"/>
      <c r="C48" s="31"/>
      <c r="D48" s="31"/>
      <c r="E48" s="31"/>
      <c r="F48" s="31"/>
      <c r="H48" s="31"/>
      <c r="I48" s="31"/>
      <c r="J48" s="31"/>
      <c r="K48" s="31"/>
      <c r="L48" s="31"/>
      <c r="M48" s="31"/>
      <c r="N48" s="31"/>
      <c r="O48" s="31"/>
      <c r="P48" s="31"/>
      <c r="Q48" s="31"/>
      <c r="R48" s="31"/>
      <c r="S48" s="31"/>
    </row>
    <row r="49" spans="3:17" x14ac:dyDescent="0.3">
      <c r="H49" s="31"/>
      <c r="I49" s="31"/>
      <c r="J49" s="31"/>
      <c r="K49" s="31"/>
      <c r="L49" s="31"/>
      <c r="M49" s="31"/>
      <c r="N49" s="31"/>
      <c r="O49" s="31"/>
      <c r="P49" s="31"/>
      <c r="Q49" s="31"/>
    </row>
    <row r="50" spans="3:17" x14ac:dyDescent="0.3">
      <c r="C50" s="62"/>
      <c r="H50" s="31"/>
      <c r="I50" s="31"/>
      <c r="J50" s="31"/>
      <c r="K50" s="31"/>
      <c r="L50" s="31"/>
      <c r="M50" s="31"/>
      <c r="N50" s="31"/>
      <c r="O50" s="31"/>
      <c r="P50" s="31"/>
      <c r="Q50" s="31"/>
    </row>
    <row r="51" spans="3:17" x14ac:dyDescent="0.3">
      <c r="H51" s="31"/>
      <c r="I51" s="31"/>
      <c r="J51" s="31"/>
      <c r="K51" s="31"/>
      <c r="L51" s="31"/>
      <c r="M51" s="31"/>
      <c r="N51" s="31"/>
      <c r="O51" s="31"/>
      <c r="P51" s="31"/>
      <c r="Q51" s="31"/>
    </row>
    <row r="52" spans="3:17" x14ac:dyDescent="0.3">
      <c r="H52" s="31"/>
      <c r="I52" s="31"/>
      <c r="J52" s="31"/>
      <c r="K52" s="31"/>
      <c r="L52" s="31"/>
      <c r="M52" s="31"/>
      <c r="N52" s="31"/>
      <c r="O52" s="31"/>
      <c r="P52" s="31"/>
      <c r="Q52" s="31"/>
    </row>
    <row r="53" spans="3:17" x14ac:dyDescent="0.3">
      <c r="H53" s="31"/>
      <c r="I53" s="31"/>
      <c r="J53" s="31"/>
      <c r="K53" s="31"/>
      <c r="L53" s="31"/>
      <c r="M53" s="31"/>
      <c r="N53" s="31"/>
      <c r="O53" s="31"/>
      <c r="P53" s="31"/>
      <c r="Q53" s="31"/>
    </row>
    <row r="54" spans="3:17" x14ac:dyDescent="0.3">
      <c r="H54" s="31"/>
    </row>
    <row r="55" spans="3:17" x14ac:dyDescent="0.3">
      <c r="H55" s="31"/>
    </row>
    <row r="56" spans="3:17" x14ac:dyDescent="0.3">
      <c r="H56" s="31"/>
    </row>
    <row r="57" spans="3:17" x14ac:dyDescent="0.3">
      <c r="H57" s="31"/>
    </row>
    <row r="58" spans="3:17" x14ac:dyDescent="0.3">
      <c r="H58" s="31"/>
    </row>
    <row r="59" spans="3:17" x14ac:dyDescent="0.3">
      <c r="H59" s="31"/>
    </row>
    <row r="60" spans="3:17" x14ac:dyDescent="0.3">
      <c r="H60" s="31"/>
    </row>
    <row r="61" spans="3:17" x14ac:dyDescent="0.3">
      <c r="H61" s="31"/>
    </row>
  </sheetData>
  <mergeCells count="2">
    <mergeCell ref="G6:H6"/>
    <mergeCell ref="G28:H28"/>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1359" yWindow="583" count="22">
        <x14:dataValidation type="list" allowBlank="1" showInputMessage="1" showErrorMessage="1" promptTitle="# Bathrooms" prompt="Select number of bathrooms.  Options are 2-8 bathrooms with half bath increments." xr:uid="{00000000-0002-0000-0100-000000000000}">
          <x14:formula1>
            <xm:f>'Defaults and Ranges'!$C$24:$C$36</xm:f>
          </x14:formula1>
          <xm:sqref>C8</xm:sqref>
        </x14:dataValidation>
        <x14:dataValidation type="list" allowBlank="1" showInputMessage="1" showErrorMessage="1" promptTitle="Basement" prompt="Choose no basement, unfinisehd basement, or finished basement" xr:uid="{00000000-0002-0000-0100-000002000000}">
          <x14:formula1>
            <xm:f>'Defaults and Ranges'!$G$24:$G$26</xm:f>
          </x14:formula1>
          <xm:sqref>E8</xm:sqref>
        </x14:dataValidation>
        <x14:dataValidation type="list" allowBlank="1" showInputMessage="1" showErrorMessage="1" promptTitle="Dining Room" prompt="Yes or No" xr:uid="{A76B7377-1E82-421C-849A-0618AD442E96}">
          <x14:formula1>
            <xm:f>'Defaults and Ranges'!$J$24:$K$24</xm:f>
          </x14:formula1>
          <xm:sqref>H8:H22</xm:sqref>
        </x14:dataValidation>
        <x14:dataValidation type="list" allowBlank="1" showInputMessage="1" showErrorMessage="1" promptTitle="Garage Size" prompt="Select garage size based on number of parking spaces.  Options are 0-4 spaces." xr:uid="{00000000-0002-0000-0100-000009000000}">
          <x14:formula1>
            <xm:f>'Defaults and Ranges'!$L$24:$L$28</xm:f>
          </x14:formula1>
          <xm:sqref>I8</xm:sqref>
        </x14:dataValidation>
        <x14:dataValidation type="list" allowBlank="1" showInputMessage="1" showErrorMessage="1" promptTitle="# Stories" prompt="Select 1 or 2 story home" xr:uid="{00000000-0002-0000-0100-00000A000000}">
          <x14:formula1>
            <xm:f>'Defaults and Ranges'!$M$24:$M$25</xm:f>
          </x14:formula1>
          <xm:sqref>J8</xm:sqref>
        </x14:dataValidation>
        <x14:dataValidation type="list" allowBlank="1" showInputMessage="1" showErrorMessage="1" promptTitle="Basement Floor Height" prompt="Select 8-12 feet if you elected to bulid a basement, otherwise N/A" xr:uid="{00000000-0002-0000-0100-00000B000000}">
          <x14:formula1>
            <xm:f>IF($E$8="no", 'Defaults and Ranges'!$N$24, 'Defaults and Ranges'!$N$25:$N$29)</xm:f>
          </x14:formula1>
          <xm:sqref>K10</xm:sqref>
        </x14:dataValidation>
        <x14:dataValidation type="list" allowBlank="1" showInputMessage="1" showErrorMessage="1" promptTitle="1st Floor Height" prompt="Select 8-12 feet" xr:uid="{00000000-0002-0000-0100-00000C000000}">
          <x14:formula1>
            <xm:f>'Defaults and Ranges'!$O$25:$O$29</xm:f>
          </x14:formula1>
          <xm:sqref>L8</xm:sqref>
        </x14:dataValidation>
        <x14:dataValidation type="list" allowBlank="1" showInputMessage="1" showErrorMessage="1" promptTitle="2nd Floor Height" prompt="Select 8-12 feet you selected 2 stories, otherwise N/A" xr:uid="{00000000-0002-0000-0100-00000D000000}">
          <x14:formula1>
            <xm:f>IF($J$8=1, 'Defaults and Ranges'!$P$24, 'Defaults and Ranges'!$P$25:$P$29)</xm:f>
          </x14:formula1>
          <xm:sqref>M10</xm:sqref>
        </x14:dataValidation>
        <x14:dataValidation type="list" allowBlank="1" showInputMessage="1" showErrorMessage="1" promptTitle="# of Rooms Larger Than 20'x20'" prompt="Choose 0, 1, 2, 3, 4" xr:uid="{00000000-0002-0000-0100-00000E000000}">
          <x14:formula1>
            <xm:f>'Defaults and Ranges'!$Q$24:$Q$28</xm:f>
          </x14:formula1>
          <xm:sqref>N8</xm:sqref>
        </x14:dataValidation>
        <x14:dataValidation type="list" allowBlank="1" showInputMessage="1" showErrorMessage="1" promptTitle="House Plans &amp; Engineering" prompt="Ziberty will accomplish both the house plans and engineering, engineering only, or neither." xr:uid="{00000000-0002-0000-0100-00000F000000}">
          <x14:formula1>
            <xm:f>'Defaults and Ranges'!$Y$24:$Y$26</xm:f>
          </x14:formula1>
          <xm:sqref>Q8</xm:sqref>
        </x14:dataValidation>
        <x14:dataValidation type="list" allowBlank="1" showInputMessage="1" showErrorMessage="1" promptTitle="Amount of Angles" prompt="Choose Very Few, Few, Moderate, Many, Very Many" xr:uid="{00000000-0002-0000-0100-000010000000}">
          <x14:formula1>
            <xm:f>'Defaults and Ranges'!$R$24:$R$28</xm:f>
          </x14:formula1>
          <xm:sqref>O8</xm:sqref>
        </x14:dataValidation>
        <x14:dataValidation type="list" allowBlank="1" showInputMessage="1" showErrorMessage="1" promptTitle="Roof Style and Pitch" prompt="Choose Very Simple, Simple, Normal, Complex, Very Complex" xr:uid="{00000000-0002-0000-0100-000011000000}">
          <x14:formula1>
            <xm:f>'Defaults and Ranges'!$V$24:$V$28</xm:f>
          </x14:formula1>
          <xm:sqref>P8</xm:sqref>
        </x14:dataValidation>
        <x14:dataValidation type="list" allowBlank="1" showInputMessage="1" showErrorMessage="1" promptTitle="# Bedrooms" prompt="Select number of bedrooms.  Options are 3-8 bedrooms." xr:uid="{00000000-0002-0000-0100-000012000000}">
          <x14:formula1>
            <xm:f>'Defaults and Ranges'!$B$24:$B$31</xm:f>
          </x14:formula1>
          <xm:sqref>B8</xm:sqref>
        </x14:dataValidation>
        <x14:dataValidation type="list" allowBlank="1" showInputMessage="1" showErrorMessage="1" promptTitle="Framing Type" prompt="Choose Conventional Wood, SIP Walls, Insulated Concete Forms - ICF, or Timber Frame" xr:uid="{00000000-0002-0000-0100-000016000000}">
          <x14:formula1>
            <xm:f>'Defaults and Ranges'!$H$24:$H$27</xm:f>
          </x14:formula1>
          <xm:sqref>F8</xm:sqref>
        </x14:dataValidation>
        <x14:dataValidation type="list" allowBlank="1" showInputMessage="1" showErrorMessage="1" promptTitle="Interior Designer" prompt="Choose Yes or No" xr:uid="{00000000-0002-0000-0100-000017000000}">
          <x14:formula1>
            <xm:f>'Defaults and Ranges'!$Z$24:$Z$25</xm:f>
          </x14:formula1>
          <xm:sqref>R8</xm:sqref>
        </x14:dataValidation>
        <x14:dataValidation type="list" allowBlank="1" showInputMessage="1" showErrorMessage="1" promptTitle="Garage Entry Type" prompt="Choose Front, Side, Courtyard, Basement" xr:uid="{00000000-0002-0000-0100-00001D000000}">
          <x14:formula1>
            <xm:f>'Defaults and Ranges'!$W$24:$W$27</xm:f>
          </x14:formula1>
          <xm:sqref>S8</xm:sqref>
        </x14:dataValidation>
        <x14:dataValidation type="list" allowBlank="1" showInputMessage="1" showErrorMessage="1" promptTitle="Vaulted Ceiling" prompt="Yes or No" xr:uid="{00000000-0002-0000-0100-00001E000000}">
          <x14:formula1>
            <xm:f>'Defaults and Ranges'!$X$24:$X$25</xm:f>
          </x14:formula1>
          <xm:sqref>T8</xm:sqref>
        </x14:dataValidation>
        <x14:dataValidation type="list" allowBlank="1" showInputMessage="1" showErrorMessage="1" promptTitle="Sqft Efficiency" prompt="Select the percentage of the 2nd floor that matches the 1st floor footprint" xr:uid="{EFD6329C-ACBB-4818-9AE0-678573BDBCFE}">
          <x14:formula1>
            <xm:f>'Defaults and Ranges'!$S$24:$S$33</xm:f>
          </x14:formula1>
          <xm:sqref>U8</xm:sqref>
        </x14:dataValidation>
        <x14:dataValidation type="list" allowBlank="1" showInputMessage="1" showErrorMessage="1" promptTitle="Floorplan Flag" prompt="Is this the floorplan flow?" xr:uid="{04B47AA7-305D-40E4-B6B1-FEC2BEAD7714}">
          <x14:formula1>
            <xm:f>'Defaults and Ranges'!$AC$24:$AC$25</xm:f>
          </x14:formula1>
          <xm:sqref>V8</xm:sqref>
        </x14:dataValidation>
        <x14:dataValidation type="list" allowBlank="1" showInputMessage="1" showErrorMessage="1" promptTitle="CMS Bedroom Range" prompt="What is the CMS entered bedroom range" xr:uid="{11AF853F-CC4E-4C1F-9D7E-70E593667AE5}">
          <x14:formula1>
            <xm:f>'Defaults and Ranges'!$AD$24:$AD$30</xm:f>
          </x14:formula1>
          <xm:sqref>W8</xm:sqref>
        </x14:dataValidation>
        <x14:dataValidation type="list" allowBlank="1" showInputMessage="1" showErrorMessage="1" promptTitle="Sqft" prompt="Select Sqft of Home.  This sqft does not include the basement" xr:uid="{00000000-0002-0000-0100-000001000000}">
          <x14:formula1>
            <xm:f>IF(B8&lt;=3, 'Defaults and Ranges'!F24:F49, IF(B8=4, 'Defaults and Ranges'!F27:$F$49,IF(B8=5, 'Defaults and Ranges'!F28:F49,IF(B8=6, 'Defaults and Ranges'!F29:F49,IF(B8=7,'Defaults and Ranges'!F30:F49,'Defaults and Ranges'!F31:F49)))))</xm:f>
          </x14:formula1>
          <xm:sqref>D12</xm:sqref>
        </x14:dataValidation>
        <x14:dataValidation type="list" allowBlank="1" showInputMessage="1" showErrorMessage="1" promptTitle="Sqft" prompt="Select Sqft of Home.  This sqft does not include the basement" xr:uid="{F746862E-F366-4ADA-8B1B-DA5C712B8BDB}">
          <x14:formula1>
            <xm:f>'Defaults and Ranges'!F24:F49</xm:f>
          </x14:formula1>
          <xm:sqref>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Q71"/>
  <sheetViews>
    <sheetView tabSelected="1" topLeftCell="B1" workbookViewId="0">
      <selection activeCell="K3" sqref="K3"/>
    </sheetView>
  </sheetViews>
  <sheetFormatPr defaultColWidth="9.109375" defaultRowHeight="13.8" x14ac:dyDescent="0.3"/>
  <cols>
    <col min="1" max="1" width="12.5546875" style="41" bestFit="1" customWidth="1"/>
    <col min="2" max="2" width="23.33203125" style="41" bestFit="1" customWidth="1"/>
    <col min="3" max="3" width="39.44140625" style="41" bestFit="1" customWidth="1"/>
    <col min="4" max="4" width="28.6640625" style="41" customWidth="1"/>
    <col min="5" max="5" width="13.33203125" style="41" customWidth="1"/>
    <col min="6" max="6" width="17" style="41" bestFit="1" customWidth="1"/>
    <col min="7" max="7" width="11" style="41" bestFit="1" customWidth="1"/>
    <col min="8" max="8" width="9.5546875" style="41" bestFit="1" customWidth="1"/>
    <col min="9" max="9" width="11.44140625" style="41" bestFit="1" customWidth="1"/>
    <col min="10" max="11" width="11.5546875" style="41" bestFit="1" customWidth="1"/>
    <col min="12" max="14" width="9.109375" style="41"/>
    <col min="15" max="15" width="9.5546875" style="41" bestFit="1" customWidth="1"/>
    <col min="16" max="16384" width="9.109375" style="41"/>
  </cols>
  <sheetData>
    <row r="1" spans="2:15" x14ac:dyDescent="0.3">
      <c r="F1" s="41" t="s">
        <v>56</v>
      </c>
      <c r="G1" s="41" t="s">
        <v>55</v>
      </c>
      <c r="H1" s="41" t="s">
        <v>354</v>
      </c>
      <c r="I1" s="41" t="s">
        <v>654</v>
      </c>
    </row>
    <row r="2" spans="2:15" x14ac:dyDescent="0.3">
      <c r="E2" s="41" t="s">
        <v>653</v>
      </c>
      <c r="F2" s="55">
        <f>'Attributes Calculations'!$C$2</f>
        <v>315000</v>
      </c>
      <c r="G2" s="55">
        <f>'Attributes Inputs and Outputs'!$C$26</f>
        <v>393750</v>
      </c>
      <c r="H2" s="55">
        <f>G2-F2</f>
        <v>78750</v>
      </c>
      <c r="I2" s="55">
        <f>G2/'Attributes Inputs and Outputs'!$D$15</f>
        <v>171.27011744236626</v>
      </c>
    </row>
    <row r="3" spans="2:15" x14ac:dyDescent="0.3">
      <c r="E3" s="41" t="s">
        <v>350</v>
      </c>
      <c r="F3" s="55">
        <f>SUM($K$8:$K$66)</f>
        <v>139546.36561259511</v>
      </c>
      <c r="G3" s="55">
        <f>SUM($F$8:$F$66)</f>
        <v>160478.32045448435</v>
      </c>
      <c r="H3" s="55">
        <f>G3-F3</f>
        <v>20931.954841889237</v>
      </c>
      <c r="I3" s="55">
        <f>G3/'Attributes Inputs and Outputs'!$D$15</f>
        <v>69.803532168109768</v>
      </c>
      <c r="K3" s="55">
        <f>SUM(G8:J66)</f>
        <v>1693370.4456975339</v>
      </c>
    </row>
    <row r="4" spans="2:15" x14ac:dyDescent="0.3">
      <c r="E4" s="41" t="s">
        <v>652</v>
      </c>
      <c r="F4" s="55">
        <f>SUM(F2:F3)</f>
        <v>454546.36561259511</v>
      </c>
      <c r="G4" s="55">
        <f>SUM(G2:G3)</f>
        <v>554228.32045448432</v>
      </c>
      <c r="H4" s="55">
        <f>G4-F4</f>
        <v>99681.954841889208</v>
      </c>
      <c r="I4" s="55">
        <f>G4/'Attributes Inputs and Outputs'!$D$15</f>
        <v>241.073649610476</v>
      </c>
    </row>
    <row r="6" spans="2:15" ht="15.6" x14ac:dyDescent="0.3">
      <c r="F6" s="52"/>
      <c r="G6" s="53"/>
      <c r="H6" s="53" t="s">
        <v>55</v>
      </c>
      <c r="I6" s="53"/>
      <c r="J6" s="53"/>
      <c r="K6" s="54"/>
      <c r="L6" s="54"/>
      <c r="M6" s="54" t="s">
        <v>56</v>
      </c>
      <c r="N6" s="54"/>
      <c r="O6" s="54"/>
    </row>
    <row r="7" spans="2:15" ht="15.6" x14ac:dyDescent="0.3">
      <c r="B7" s="44" t="s">
        <v>57</v>
      </c>
      <c r="C7" s="44" t="s">
        <v>58</v>
      </c>
      <c r="D7" s="44" t="s">
        <v>59</v>
      </c>
      <c r="E7" s="44" t="s">
        <v>30</v>
      </c>
      <c r="F7" s="41" t="s">
        <v>60</v>
      </c>
      <c r="G7" s="41" t="s">
        <v>61</v>
      </c>
      <c r="H7" s="41" t="s">
        <v>62</v>
      </c>
      <c r="I7" s="41" t="s">
        <v>63</v>
      </c>
      <c r="J7" s="41" t="s">
        <v>64</v>
      </c>
      <c r="K7" s="41" t="s">
        <v>60</v>
      </c>
      <c r="L7" s="41" t="s">
        <v>61</v>
      </c>
      <c r="M7" s="41" t="s">
        <v>62</v>
      </c>
      <c r="N7" s="41" t="s">
        <v>63</v>
      </c>
      <c r="O7" s="41" t="s">
        <v>64</v>
      </c>
    </row>
    <row r="8" spans="2:15" x14ac:dyDescent="0.3">
      <c r="B8" s="41" t="s">
        <v>65</v>
      </c>
      <c r="C8" s="89" t="s">
        <v>65</v>
      </c>
      <c r="D8" s="42" t="s">
        <v>65</v>
      </c>
      <c r="E8" s="90" t="s">
        <v>572</v>
      </c>
      <c r="F8" s="43">
        <f>K8*(1+Inputs!$C$15)*IF($D8="N/A", 0, 1)</f>
        <v>13323.9</v>
      </c>
      <c r="G8" s="91">
        <f>L8*(1+Inputs!$C$15)</f>
        <v>0</v>
      </c>
      <c r="H8" s="91">
        <f>M8*(1+Inputs!$C$15)</f>
        <v>13323.9</v>
      </c>
      <c r="I8" s="91">
        <f>N8*(1+Inputs!$C$15)</f>
        <v>70895.199999999997</v>
      </c>
      <c r="J8" s="91">
        <f>O8*(1+Inputs!$C$15)</f>
        <v>125789.87499999999</v>
      </c>
      <c r="K8" s="43">
        <f>IF(E8='Defaults and Ranges'!B$53, 'Package Price Calculations'!E5, IF(E8='Defaults and Ranges'!B$54, 'Package Price Calculations'!E6, IF(E8='Defaults and Ranges'!B$55, 'Package Price Calculations'!E7, 'Package Price Calculations'!E8)))</f>
        <v>11586</v>
      </c>
      <c r="L8" s="43">
        <f>'Package Price Calculations'!$E5</f>
        <v>0</v>
      </c>
      <c r="M8" s="43">
        <f>'Package Price Calculations'!$E6</f>
        <v>11586</v>
      </c>
      <c r="N8" s="43">
        <f>'Package Price Calculations'!$E7</f>
        <v>61648</v>
      </c>
      <c r="O8" s="43">
        <f>'Package Price Calculations'!$E8</f>
        <v>109382.5</v>
      </c>
    </row>
    <row r="9" spans="2:15" x14ac:dyDescent="0.3">
      <c r="B9" s="41" t="s">
        <v>66</v>
      </c>
      <c r="C9" s="89" t="s">
        <v>67</v>
      </c>
      <c r="D9" s="42" t="str">
        <f>'Package Price Calculations'!F9</f>
        <v>Master Bedroom</v>
      </c>
      <c r="E9" s="90" t="s">
        <v>572</v>
      </c>
      <c r="F9" s="43">
        <f>K9*(1+Inputs!$C$15)*IF(D9="N/A", 0, 1)</f>
        <v>3622.4999999999995</v>
      </c>
      <c r="G9" s="91">
        <f>L9*(1+Inputs!$C$15)</f>
        <v>0</v>
      </c>
      <c r="H9" s="91">
        <f>M9*(1+Inputs!$C$15)</f>
        <v>3622.4999999999995</v>
      </c>
      <c r="I9" s="91">
        <f>N9*(1+Inputs!$C$15)</f>
        <v>18701.875</v>
      </c>
      <c r="J9" s="91">
        <f>O9*(1+Inputs!$C$15)</f>
        <v>37346.25</v>
      </c>
      <c r="K9" s="43">
        <f>IF(E9='Defaults and Ranges'!B$53, 'Package Price Calculations'!F10, IF(E9='Defaults and Ranges'!B$54, 'Package Price Calculations'!F11, IF(E9='Defaults and Ranges'!B$55, 'Package Price Calculations'!F12, 'Package Price Calculations'!F13)))</f>
        <v>3150</v>
      </c>
      <c r="L9" s="43">
        <f>'Package Price Calculations'!$F10</f>
        <v>0</v>
      </c>
      <c r="M9" s="43">
        <f>'Package Price Calculations'!$F11</f>
        <v>3150</v>
      </c>
      <c r="N9" s="43">
        <f>'Package Price Calculations'!$F12</f>
        <v>16262.5</v>
      </c>
      <c r="O9" s="43">
        <f>'Package Price Calculations'!$F13</f>
        <v>32475</v>
      </c>
    </row>
    <row r="10" spans="2:15" x14ac:dyDescent="0.3">
      <c r="C10" s="89" t="s">
        <v>68</v>
      </c>
      <c r="D10" s="42" t="str">
        <f>'Package Price Calculations'!F14</f>
        <v>Bedroom 2</v>
      </c>
      <c r="E10" s="90" t="s">
        <v>572</v>
      </c>
      <c r="F10" s="43">
        <f>K10*(1+Inputs!$C$15)*IF(D10="N/A", 0, 1)</f>
        <v>1984.8999999999999</v>
      </c>
      <c r="G10" s="91">
        <f>L10*(1+Inputs!$C$15)</f>
        <v>0</v>
      </c>
      <c r="H10" s="91">
        <f>M10*(1+Inputs!$C$15)</f>
        <v>1984.8999999999999</v>
      </c>
      <c r="I10" s="91">
        <f>N10*(1+Inputs!$C$15)</f>
        <v>16217.874999999998</v>
      </c>
      <c r="J10" s="91">
        <f>O10*(1+Inputs!$C$15)</f>
        <v>33459.25</v>
      </c>
      <c r="K10" s="43">
        <f>IF(E10='Defaults and Ranges'!B$53, 'Package Price Calculations'!F15, IF(E10='Defaults and Ranges'!B$54, 'Package Price Calculations'!F16, IF(E10='Defaults and Ranges'!B$55, 'Package Price Calculations'!F17, 'Package Price Calculations'!F18)))</f>
        <v>1726</v>
      </c>
      <c r="L10" s="43">
        <f xml:space="preserve"> 'Package Price Calculations'!$F15</f>
        <v>0</v>
      </c>
      <c r="M10" s="43">
        <f xml:space="preserve"> 'Package Price Calculations'!$F16</f>
        <v>1726</v>
      </c>
      <c r="N10" s="43">
        <f xml:space="preserve"> 'Package Price Calculations'!$F17</f>
        <v>14102.5</v>
      </c>
      <c r="O10" s="43">
        <f xml:space="preserve"> 'Package Price Calculations'!$F18</f>
        <v>29095</v>
      </c>
    </row>
    <row r="11" spans="2:15" x14ac:dyDescent="0.3">
      <c r="C11" s="89" t="s">
        <v>69</v>
      </c>
      <c r="D11" s="42" t="str">
        <f>'Package Price Calculations'!F19</f>
        <v>Bedroom 3</v>
      </c>
      <c r="E11" s="90" t="s">
        <v>64</v>
      </c>
      <c r="F11" s="43">
        <f>K11*(1+Inputs!$C$15)*IF(D11="N/A", 0, 1)</f>
        <v>33459.25</v>
      </c>
      <c r="G11" s="91">
        <f>L11*(1+Inputs!$C$15)</f>
        <v>0</v>
      </c>
      <c r="H11" s="91">
        <f>M11*(1+Inputs!$C$15)</f>
        <v>1984.8999999999999</v>
      </c>
      <c r="I11" s="91">
        <f>N11*(1+Inputs!$C$15)</f>
        <v>16217.874999999998</v>
      </c>
      <c r="J11" s="91">
        <f>O11*(1+Inputs!$C$15)</f>
        <v>33459.25</v>
      </c>
      <c r="K11" s="43">
        <f>IF(E11='Defaults and Ranges'!B$53, 'Package Price Calculations'!F20, IF(E11='Defaults and Ranges'!B$54, 'Package Price Calculations'!F21, IF(E11='Defaults and Ranges'!B$55, 'Package Price Calculations'!F22, 'Package Price Calculations'!F23)))</f>
        <v>29095</v>
      </c>
      <c r="L11" s="43">
        <f>'Package Price Calculations'!$F20</f>
        <v>0</v>
      </c>
      <c r="M11" s="43">
        <f>'Package Price Calculations'!$F21</f>
        <v>1726</v>
      </c>
      <c r="N11" s="43">
        <f>'Package Price Calculations'!$F22</f>
        <v>14102.5</v>
      </c>
      <c r="O11" s="43">
        <f>'Package Price Calculations'!$F23</f>
        <v>29095</v>
      </c>
    </row>
    <row r="12" spans="2:15" x14ac:dyDescent="0.3">
      <c r="C12" s="89" t="s">
        <v>70</v>
      </c>
      <c r="D12" s="42" t="str">
        <f>'Package Price Calculations'!F24</f>
        <v>N/A</v>
      </c>
      <c r="E12" s="90" t="s">
        <v>63</v>
      </c>
      <c r="F12" s="43">
        <f>K12*(1+Inputs!$C$15)*IF(D12="N/A", 0, 1)</f>
        <v>0</v>
      </c>
      <c r="G12" s="91">
        <f>L12*(1+Inputs!$C$15)</f>
        <v>0</v>
      </c>
      <c r="H12" s="91">
        <f>M12*(1+Inputs!$C$15)</f>
        <v>0</v>
      </c>
      <c r="I12" s="91">
        <f>N12*(1+Inputs!$C$15)</f>
        <v>0</v>
      </c>
      <c r="J12" s="91">
        <f>O12*(1+Inputs!$C$15)</f>
        <v>0</v>
      </c>
      <c r="K12" s="43">
        <f>IF(E12='Defaults and Ranges'!B$53, 'Package Price Calculations'!F25, IF(E12='Defaults and Ranges'!B$54, 'Package Price Calculations'!F26, IF(E12='Defaults and Ranges'!B$55, 'Package Price Calculations'!F27, 'Package Price Calculations'!F28)))</f>
        <v>0</v>
      </c>
      <c r="L12" s="43">
        <f>'Package Price Calculations'!$F25</f>
        <v>0</v>
      </c>
      <c r="M12" s="43">
        <f>'Package Price Calculations'!$F26</f>
        <v>0</v>
      </c>
      <c r="N12" s="43">
        <f>'Package Price Calculations'!$F27</f>
        <v>0</v>
      </c>
      <c r="O12" s="43">
        <f>'Package Price Calculations'!$F28</f>
        <v>0</v>
      </c>
    </row>
    <row r="13" spans="2:15" x14ac:dyDescent="0.3">
      <c r="C13" s="89" t="s">
        <v>71</v>
      </c>
      <c r="D13" s="42" t="str">
        <f>'Package Price Calculations'!F29</f>
        <v>N/A</v>
      </c>
      <c r="E13" s="90" t="s">
        <v>63</v>
      </c>
      <c r="F13" s="43">
        <f>K13*(1+Inputs!$C$15)*IF(D13="N/A", 0, 1)</f>
        <v>0</v>
      </c>
      <c r="G13" s="91">
        <f>L13*(1+Inputs!$C$15)</f>
        <v>0</v>
      </c>
      <c r="H13" s="91">
        <f>M13*(1+Inputs!$C$15)</f>
        <v>0</v>
      </c>
      <c r="I13" s="91">
        <f>N13*(1+Inputs!$C$15)</f>
        <v>0</v>
      </c>
      <c r="J13" s="91">
        <f>O13*(1+Inputs!$C$15)</f>
        <v>0</v>
      </c>
      <c r="K13" s="43">
        <f>IF(E13='Defaults and Ranges'!B$53, 'Package Price Calculations'!F30, IF(E13='Defaults and Ranges'!B$54, 'Package Price Calculations'!F31, IF(E13='Defaults and Ranges'!B$55, 'Package Price Calculations'!F32, 'Package Price Calculations'!F33)))</f>
        <v>0</v>
      </c>
      <c r="L13" s="43">
        <f xml:space="preserve"> 'Package Price Calculations'!$F30</f>
        <v>0</v>
      </c>
      <c r="M13" s="43">
        <f xml:space="preserve"> 'Package Price Calculations'!$F31</f>
        <v>0</v>
      </c>
      <c r="N13" s="43">
        <f xml:space="preserve"> 'Package Price Calculations'!$F32</f>
        <v>0</v>
      </c>
      <c r="O13" s="43">
        <f xml:space="preserve"> 'Package Price Calculations'!$F33</f>
        <v>0</v>
      </c>
    </row>
    <row r="14" spans="2:15" x14ac:dyDescent="0.3">
      <c r="C14" s="89" t="s">
        <v>72</v>
      </c>
      <c r="D14" s="42" t="str">
        <f>'Package Price Calculations'!F34</f>
        <v>N/A</v>
      </c>
      <c r="E14" s="90" t="s">
        <v>572</v>
      </c>
      <c r="F14" s="43">
        <f>K14*(1+Inputs!$C$15)*IF(D14="N/A", 0, 1)</f>
        <v>0</v>
      </c>
      <c r="G14" s="91">
        <f>L14*(1+Inputs!$C$15)</f>
        <v>0</v>
      </c>
      <c r="H14" s="91">
        <f>M14*(1+Inputs!$C$15)</f>
        <v>0</v>
      </c>
      <c r="I14" s="91">
        <f>N14*(1+Inputs!$C$15)</f>
        <v>0</v>
      </c>
      <c r="J14" s="91">
        <f>O14*(1+Inputs!$C$15)</f>
        <v>0</v>
      </c>
      <c r="K14" s="43">
        <f>IF(E14='Defaults and Ranges'!B$53, 'Package Price Calculations'!F35, IF(E14='Defaults and Ranges'!B$54, 'Package Price Calculations'!F36, IF(E14='Defaults and Ranges'!B$55, 'Package Price Calculations'!F37, 'Package Price Calculations'!F38)))</f>
        <v>0</v>
      </c>
      <c r="L14" s="43">
        <f>'Package Price Calculations'!$F35</f>
        <v>0</v>
      </c>
      <c r="M14" s="43">
        <f>'Package Price Calculations'!$F36</f>
        <v>0</v>
      </c>
      <c r="N14" s="43">
        <f>'Package Price Calculations'!$F37</f>
        <v>0</v>
      </c>
      <c r="O14" s="43">
        <f>'Package Price Calculations'!$F38</f>
        <v>0</v>
      </c>
    </row>
    <row r="15" spans="2:15" x14ac:dyDescent="0.3">
      <c r="C15" s="89" t="s">
        <v>73</v>
      </c>
      <c r="D15" s="42" t="str">
        <f>'Package Price Calculations'!F39</f>
        <v>N/A</v>
      </c>
      <c r="E15" s="90" t="s">
        <v>572</v>
      </c>
      <c r="F15" s="43">
        <f>K15*(1+Inputs!$C$15)*IF(D15="N/A", 0, 1)</f>
        <v>0</v>
      </c>
      <c r="G15" s="91">
        <f>L15*(1+Inputs!$C$15)</f>
        <v>0</v>
      </c>
      <c r="H15" s="91">
        <f>M15*(1+Inputs!$C$15)</f>
        <v>0</v>
      </c>
      <c r="I15" s="91">
        <f>N15*(1+Inputs!$C$15)</f>
        <v>0</v>
      </c>
      <c r="J15" s="91">
        <f>O15*(1+Inputs!$C$15)</f>
        <v>0</v>
      </c>
      <c r="K15" s="43">
        <f>IF(E15='Defaults and Ranges'!B$53, 'Package Price Calculations'!F40, IF(E15='Defaults and Ranges'!B$54, 'Package Price Calculations'!F41, IF(E15='Defaults and Ranges'!B$55, 'Package Price Calculations'!F42, 'Package Price Calculations'!F43)))</f>
        <v>0</v>
      </c>
      <c r="L15" s="43">
        <f xml:space="preserve"> 'Package Price Calculations'!$F40</f>
        <v>0</v>
      </c>
      <c r="M15" s="43">
        <f xml:space="preserve"> 'Package Price Calculations'!$F41</f>
        <v>0</v>
      </c>
      <c r="N15" s="43">
        <f xml:space="preserve"> 'Package Price Calculations'!$F42</f>
        <v>0</v>
      </c>
      <c r="O15" s="43">
        <f xml:space="preserve"> 'Package Price Calculations'!$F43</f>
        <v>0</v>
      </c>
    </row>
    <row r="16" spans="2:15" x14ac:dyDescent="0.3">
      <c r="C16" s="89" t="s">
        <v>74</v>
      </c>
      <c r="D16" s="42" t="str">
        <f>'Package Price Calculations'!F44</f>
        <v>N/A</v>
      </c>
      <c r="E16" s="90" t="s">
        <v>572</v>
      </c>
      <c r="F16" s="43">
        <f>K16*(1+Inputs!$C$15)*IF(D16="N/A", 0, 1)</f>
        <v>0</v>
      </c>
      <c r="G16" s="91">
        <f>L16*(1+Inputs!$C$15)</f>
        <v>0</v>
      </c>
      <c r="H16" s="91">
        <f>M16*(1+Inputs!$C$15)</f>
        <v>0</v>
      </c>
      <c r="I16" s="91">
        <f>N16*(1+Inputs!$C$15)</f>
        <v>0</v>
      </c>
      <c r="J16" s="91">
        <f>O16*(1+Inputs!$C$15)</f>
        <v>0</v>
      </c>
      <c r="K16" s="43">
        <f>IF(E16='Defaults and Ranges'!B$53, 'Package Price Calculations'!F45, IF(E16='Defaults and Ranges'!B$54, 'Package Price Calculations'!F46, IF(E16='Defaults and Ranges'!B$55, 'Package Price Calculations'!F47, 'Package Price Calculations'!F48)))</f>
        <v>0</v>
      </c>
      <c r="L16" s="43">
        <f xml:space="preserve"> 'Package Price Calculations'!$F45</f>
        <v>0</v>
      </c>
      <c r="M16" s="43">
        <f xml:space="preserve"> 'Package Price Calculations'!$F46</f>
        <v>0</v>
      </c>
      <c r="N16" s="43">
        <f xml:space="preserve"> 'Package Price Calculations'!$F47</f>
        <v>0</v>
      </c>
      <c r="O16" s="43">
        <f xml:space="preserve"> 'Package Price Calculations'!$F48</f>
        <v>0</v>
      </c>
    </row>
    <row r="17" spans="2:17" x14ac:dyDescent="0.3">
      <c r="B17" s="41" t="s">
        <v>75</v>
      </c>
      <c r="C17" s="89" t="s">
        <v>76</v>
      </c>
      <c r="D17" s="42" t="str">
        <f>'Package Price Calculations'!G49</f>
        <v>Master Bath</v>
      </c>
      <c r="E17" s="90" t="s">
        <v>572</v>
      </c>
      <c r="F17" s="43">
        <f>K17*(1+Inputs!$C$15)*IF(D17="N/A", 0, 1)</f>
        <v>10318.058750000002</v>
      </c>
      <c r="G17" s="91">
        <f>L17*(1+Inputs!$C$15)</f>
        <v>0</v>
      </c>
      <c r="H17" s="91">
        <f>M17*(1+Inputs!$C$15)</f>
        <v>10318.058750000002</v>
      </c>
      <c r="I17" s="91">
        <f>N17*(1+Inputs!$C$15)</f>
        <v>49665.021249999998</v>
      </c>
      <c r="J17" s="91">
        <f>O17*(1+Inputs!$C$15)</f>
        <v>85041.30687499998</v>
      </c>
      <c r="K17" s="43">
        <f>IF(D17="N/A", 0,1)*(IF(E17='Defaults and Ranges'!B$53, 'Package Price Calculations'!G50,IF(E17='Defaults and Ranges'!B$54, 'Package Price Calculations'!G51,IF(E17='Defaults and Ranges'!B$55, 'Package Price Calculations'!G52, 'Package Price Calculations'!G53))))</f>
        <v>8972.2250000000022</v>
      </c>
      <c r="L17" s="43">
        <f xml:space="preserve"> 'Package Price Calculations'!$G50</f>
        <v>0</v>
      </c>
      <c r="M17" s="43">
        <f xml:space="preserve"> 'Package Price Calculations'!$G51</f>
        <v>8972.2250000000022</v>
      </c>
      <c r="N17" s="43">
        <f xml:space="preserve"> 'Package Price Calculations'!$G52</f>
        <v>43186.974999999999</v>
      </c>
      <c r="O17" s="43">
        <f xml:space="preserve"> 'Package Price Calculations'!$G53</f>
        <v>73948.962499999994</v>
      </c>
    </row>
    <row r="18" spans="2:17" x14ac:dyDescent="0.3">
      <c r="C18" s="89" t="s">
        <v>600</v>
      </c>
      <c r="D18" s="42" t="str">
        <f>'Package Price Calculations'!G54</f>
        <v>N/A</v>
      </c>
      <c r="E18" s="90" t="s">
        <v>572</v>
      </c>
      <c r="F18" s="43">
        <f>K18*(1+Inputs!$C$15)*IF(D18="N/A", 0, 1)</f>
        <v>0</v>
      </c>
      <c r="G18" s="91">
        <f>L18*(1+Inputs!$C$15)</f>
        <v>0</v>
      </c>
      <c r="H18" s="91">
        <f>M18*(1+Inputs!$C$15)</f>
        <v>0</v>
      </c>
      <c r="I18" s="91">
        <f>N18*(1+Inputs!$C$15)</f>
        <v>0</v>
      </c>
      <c r="J18" s="91">
        <f>O18*(1+Inputs!$C$15)</f>
        <v>0</v>
      </c>
      <c r="K18" s="43">
        <f>IF(D18="N/A", 0,1)*(IF(E18='Defaults and Ranges'!B$53, 'Package Price Calculations'!G55,IF(E18='Defaults and Ranges'!B$54, 'Package Price Calculations'!G56,IF(E18='Defaults and Ranges'!B$55, 'Package Price Calculations'!G57, 'Package Price Calculations'!G58))))</f>
        <v>0</v>
      </c>
      <c r="L18" s="43">
        <f xml:space="preserve"> 'Package Price Calculations'!$G55</f>
        <v>0</v>
      </c>
      <c r="M18" s="43">
        <f xml:space="preserve"> 'Package Price Calculations'!$G56</f>
        <v>0</v>
      </c>
      <c r="N18" s="43">
        <f xml:space="preserve"> 'Package Price Calculations'!$G57</f>
        <v>0</v>
      </c>
      <c r="O18" s="43">
        <f xml:space="preserve"> 'Package Price Calculations'!$G58</f>
        <v>0</v>
      </c>
    </row>
    <row r="19" spans="2:17" x14ac:dyDescent="0.3">
      <c r="C19" s="89" t="s">
        <v>77</v>
      </c>
      <c r="D19" s="42" t="str">
        <f>'Package Price Calculations'!G59</f>
        <v>Bath 2</v>
      </c>
      <c r="E19" s="90" t="s">
        <v>572</v>
      </c>
      <c r="F19" s="43">
        <f>K19*(1+Inputs!$C$15)*IF(D19="N/A", 0, 1)</f>
        <v>3307.6464285714287</v>
      </c>
      <c r="G19" s="91">
        <f>L19*(1+Inputs!$C$15)</f>
        <v>0</v>
      </c>
      <c r="H19" s="91">
        <f>M19*(1+Inputs!$C$15)</f>
        <v>3307.6464285714287</v>
      </c>
      <c r="I19" s="91">
        <f>N19*(1+Inputs!$C$15)</f>
        <v>29313.163214285712</v>
      </c>
      <c r="J19" s="91">
        <f>O19*(1+Inputs!$C$15)</f>
        <v>57453.433214285717</v>
      </c>
      <c r="K19" s="43">
        <f>IF(D19="N/A", 0, 1)*(IF(E19='Defaults and Ranges'!B$53, 'Package Price Calculations'!G60,IF(E19='Defaults and Ranges'!B$54, 'Package Price Calculations'!G61,IF(E19='Defaults and Ranges'!B$55, 'Package Price Calculations'!G62, 'Package Price Calculations'!G63))))</f>
        <v>2876.2142857142862</v>
      </c>
      <c r="L19" s="43">
        <f xml:space="preserve"> 'Package Price Calculations'!$G60</f>
        <v>0</v>
      </c>
      <c r="M19" s="43">
        <f xml:space="preserve"> 'Package Price Calculations'!$G61</f>
        <v>2876.2142857142862</v>
      </c>
      <c r="N19" s="43">
        <f xml:space="preserve"> 'Package Price Calculations'!$G62</f>
        <v>25489.707142857143</v>
      </c>
      <c r="O19" s="43">
        <f xml:space="preserve"> 'Package Price Calculations'!$G63</f>
        <v>49959.507142857146</v>
      </c>
    </row>
    <row r="20" spans="2:17" x14ac:dyDescent="0.3">
      <c r="C20" s="89" t="s">
        <v>78</v>
      </c>
      <c r="D20" s="42" t="str">
        <f>'Package Price Calculations'!G64</f>
        <v>Bath 3</v>
      </c>
      <c r="E20" s="90" t="s">
        <v>572</v>
      </c>
      <c r="F20" s="43">
        <f>K20*(1+Inputs!$C$15)*IF(D20="N/A", 0, 1)</f>
        <v>3307.6464285714287</v>
      </c>
      <c r="G20" s="91">
        <f>L20*(1+Inputs!$C$15)</f>
        <v>0</v>
      </c>
      <c r="H20" s="91">
        <f>M20*(1+Inputs!$C$15)</f>
        <v>3307.6464285714287</v>
      </c>
      <c r="I20" s="91">
        <f>N20*(1+Inputs!$C$15)</f>
        <v>29313.163214285712</v>
      </c>
      <c r="J20" s="91">
        <f>O20*(1+Inputs!$C$15)</f>
        <v>57453.433214285717</v>
      </c>
      <c r="K20" s="43">
        <f>IF(D20="N/A", 0, 1)*(IF(E20='Defaults and Ranges'!B$53, 'Package Price Calculations'!G65,IF(E20='Defaults and Ranges'!B$54, 'Package Price Calculations'!G66,IF(E20='Defaults and Ranges'!B$55, 'Package Price Calculations'!G67, 'Package Price Calculations'!G68))))</f>
        <v>2876.2142857142862</v>
      </c>
      <c r="L20" s="43">
        <f xml:space="preserve"> 'Package Price Calculations'!$G65</f>
        <v>0</v>
      </c>
      <c r="M20" s="43">
        <f xml:space="preserve"> 'Package Price Calculations'!$G66</f>
        <v>2876.2142857142862</v>
      </c>
      <c r="N20" s="43">
        <f xml:space="preserve"> 'Package Price Calculations'!$G67</f>
        <v>25489.707142857143</v>
      </c>
      <c r="O20" s="43">
        <f xml:space="preserve"> 'Package Price Calculations'!$G68</f>
        <v>49959.507142857146</v>
      </c>
    </row>
    <row r="21" spans="2:17" x14ac:dyDescent="0.3">
      <c r="C21" s="89" t="s">
        <v>79</v>
      </c>
      <c r="D21" s="42" t="str">
        <f>'Package Price Calculations'!G69</f>
        <v>N/A</v>
      </c>
      <c r="E21" s="90" t="s">
        <v>572</v>
      </c>
      <c r="F21" s="43">
        <f>K21*(1+Inputs!$C$15)*IF(D21="N/A", 0, 1)</f>
        <v>0</v>
      </c>
      <c r="G21" s="91">
        <f>L21*(1+Inputs!$C$15)</f>
        <v>0</v>
      </c>
      <c r="H21" s="91">
        <f>M21*(1+Inputs!$C$15)</f>
        <v>0</v>
      </c>
      <c r="I21" s="91">
        <f>N21*(1+Inputs!$C$15)</f>
        <v>0</v>
      </c>
      <c r="J21" s="91">
        <f>O21*(1+Inputs!$C$15)</f>
        <v>0</v>
      </c>
      <c r="K21" s="43">
        <f>IF(D21="N/A", 0, 1)*(IF(E21='Defaults and Ranges'!B$53, 'Package Price Calculations'!G70,IF(E21='Defaults and Ranges'!B$54, 'Package Price Calculations'!G71,IF(E21='Defaults and Ranges'!B$55, 'Package Price Calculations'!G72, 'Package Price Calculations'!G73))))</f>
        <v>0</v>
      </c>
      <c r="L21" s="43">
        <f xml:space="preserve"> 'Package Price Calculations'!$G70</f>
        <v>0</v>
      </c>
      <c r="M21" s="43">
        <f xml:space="preserve"> 'Package Price Calculations'!$G71</f>
        <v>0</v>
      </c>
      <c r="N21" s="43">
        <f xml:space="preserve"> 'Package Price Calculations'!$G72</f>
        <v>0</v>
      </c>
      <c r="O21" s="43">
        <f xml:space="preserve"> 'Package Price Calculations'!$G73</f>
        <v>0</v>
      </c>
    </row>
    <row r="22" spans="2:17" x14ac:dyDescent="0.3">
      <c r="C22" s="89" t="s">
        <v>80</v>
      </c>
      <c r="D22" s="42" t="str">
        <f>'Package Price Calculations'!G74</f>
        <v>N/A</v>
      </c>
      <c r="E22" s="90" t="s">
        <v>572</v>
      </c>
      <c r="F22" s="43">
        <f>K22*(1+Inputs!$C$15)*IF(D22="N/A", 0, 1)</f>
        <v>0</v>
      </c>
      <c r="G22" s="91">
        <f>L22*(1+Inputs!$C$15)</f>
        <v>0</v>
      </c>
      <c r="H22" s="91">
        <f>M22*(1+Inputs!$C$15)</f>
        <v>0</v>
      </c>
      <c r="I22" s="91">
        <f>N22*(1+Inputs!$C$15)</f>
        <v>0</v>
      </c>
      <c r="J22" s="91">
        <f>O22*(1+Inputs!$C$15)</f>
        <v>0</v>
      </c>
      <c r="K22" s="43">
        <f>IF(D22="N/A", 0, 1)*(IF(E22='Defaults and Ranges'!B$53, 'Package Price Calculations'!G75,IF(E22='Defaults and Ranges'!B$54, 'Package Price Calculations'!G76,IF(E22='Defaults and Ranges'!B$55, 'Package Price Calculations'!G77, 'Package Price Calculations'!G78))))</f>
        <v>0</v>
      </c>
      <c r="L22" s="43">
        <f xml:space="preserve"> 'Package Price Calculations'!$G75</f>
        <v>0</v>
      </c>
      <c r="M22" s="43">
        <f xml:space="preserve"> 'Package Price Calculations'!$G76</f>
        <v>0</v>
      </c>
      <c r="N22" s="43">
        <f xml:space="preserve"> 'Package Price Calculations'!$G77</f>
        <v>0</v>
      </c>
      <c r="O22" s="43">
        <f xml:space="preserve"> 'Package Price Calculations'!$G78</f>
        <v>0</v>
      </c>
    </row>
    <row r="23" spans="2:17" x14ac:dyDescent="0.3">
      <c r="C23" s="89" t="s">
        <v>81</v>
      </c>
      <c r="D23" s="42" t="str">
        <f>'Package Price Calculations'!G79</f>
        <v>N/A</v>
      </c>
      <c r="E23" s="90" t="s">
        <v>572</v>
      </c>
      <c r="F23" s="43">
        <f>K23*(1+Inputs!$C$15)*IF(D23="N/A", 0, 1)</f>
        <v>0</v>
      </c>
      <c r="G23" s="91">
        <f>L23*(1+Inputs!$C$15)</f>
        <v>0</v>
      </c>
      <c r="H23" s="91">
        <f>M23*(1+Inputs!$C$15)</f>
        <v>0</v>
      </c>
      <c r="I23" s="91">
        <f>N23*(1+Inputs!$C$15)</f>
        <v>0</v>
      </c>
      <c r="J23" s="91">
        <f>O23*(1+Inputs!$C$15)</f>
        <v>0</v>
      </c>
      <c r="K23" s="43">
        <f>IF(D23="N/A", 0, 1)*(IF(E23='Defaults and Ranges'!B$53, 'Package Price Calculations'!G80,IF(E23='Defaults and Ranges'!B$54, 'Package Price Calculations'!G81,IF(E23='Defaults and Ranges'!B$55, 'Package Price Calculations'!G82, 'Package Price Calculations'!G83))))</f>
        <v>0</v>
      </c>
      <c r="L23" s="43">
        <f xml:space="preserve"> 'Package Price Calculations'!$G80</f>
        <v>0</v>
      </c>
      <c r="M23" s="43">
        <f xml:space="preserve"> 'Package Price Calculations'!$G81</f>
        <v>0</v>
      </c>
      <c r="N23" s="43">
        <f xml:space="preserve"> 'Package Price Calculations'!$G82</f>
        <v>0</v>
      </c>
      <c r="O23" s="43">
        <f xml:space="preserve"> 'Package Price Calculations'!$G83</f>
        <v>0</v>
      </c>
    </row>
    <row r="24" spans="2:17" x14ac:dyDescent="0.3">
      <c r="C24" s="89" t="s">
        <v>82</v>
      </c>
      <c r="D24" s="42" t="str">
        <f>'Package Price Calculations'!G84</f>
        <v>N/A</v>
      </c>
      <c r="E24" s="90" t="s">
        <v>572</v>
      </c>
      <c r="F24" s="43">
        <f>K24*(1+Inputs!$C$15)*IF(D24="N/A", 0, 1)</f>
        <v>0</v>
      </c>
      <c r="G24" s="91">
        <f>L24*(1+Inputs!$C$15)</f>
        <v>0</v>
      </c>
      <c r="H24" s="91">
        <f>M24*(1+Inputs!$C$15)</f>
        <v>0</v>
      </c>
      <c r="I24" s="91">
        <f>N24*(1+Inputs!$C$15)</f>
        <v>0</v>
      </c>
      <c r="J24" s="91">
        <f>O24*(1+Inputs!$C$15)</f>
        <v>0</v>
      </c>
      <c r="K24" s="43">
        <f>IF(D24="N/A", 0, 1)*(IF(E24='Defaults and Ranges'!B$53, 'Package Price Calculations'!G85,IF(E24='Defaults and Ranges'!B$54, 'Package Price Calculations'!G86,IF(E24='Defaults and Ranges'!B$55, 'Package Price Calculations'!G87, 'Package Price Calculations'!G88))))</f>
        <v>0</v>
      </c>
      <c r="L24" s="43">
        <f xml:space="preserve"> 'Package Price Calculations'!$G85</f>
        <v>0</v>
      </c>
      <c r="M24" s="43">
        <f xml:space="preserve"> 'Package Price Calculations'!$G86</f>
        <v>0</v>
      </c>
      <c r="N24" s="43">
        <f xml:space="preserve"> 'Package Price Calculations'!$G87</f>
        <v>0</v>
      </c>
      <c r="O24" s="43">
        <f xml:space="preserve"> 'Package Price Calculations'!$G88</f>
        <v>0</v>
      </c>
    </row>
    <row r="25" spans="2:17" x14ac:dyDescent="0.3">
      <c r="C25" s="89" t="s">
        <v>83</v>
      </c>
      <c r="D25" s="42" t="str">
        <f>'Package Price Calculations'!G89</f>
        <v>N/A</v>
      </c>
      <c r="E25" s="90" t="s">
        <v>572</v>
      </c>
      <c r="F25" s="43">
        <f>K25*(1+Inputs!$C$15)*IF(D25="N/A", 0, 1)</f>
        <v>0</v>
      </c>
      <c r="G25" s="91">
        <f>L25*(1+Inputs!$C$15)</f>
        <v>0</v>
      </c>
      <c r="H25" s="91">
        <f>M25*(1+Inputs!$C$15)</f>
        <v>0</v>
      </c>
      <c r="I25" s="91">
        <f>N25*(1+Inputs!$C$15)</f>
        <v>0</v>
      </c>
      <c r="J25" s="91">
        <f>O25*(1+Inputs!$C$15)</f>
        <v>0</v>
      </c>
      <c r="K25" s="43">
        <f>IF(D25="N/A", 0, 1)*(IF(E25='Defaults and Ranges'!B$53, 'Package Price Calculations'!G90,IF(E25='Defaults and Ranges'!B$54, 'Package Price Calculations'!G91,IF(E25='Defaults and Ranges'!B$55, 'Package Price Calculations'!G92, 'Package Price Calculations'!G93))))</f>
        <v>0</v>
      </c>
      <c r="L25" s="43">
        <f xml:space="preserve"> 'Package Price Calculations'!$G90</f>
        <v>0</v>
      </c>
      <c r="M25" s="43">
        <f xml:space="preserve"> 'Package Price Calculations'!$G91</f>
        <v>0</v>
      </c>
      <c r="N25" s="43">
        <f xml:space="preserve"> 'Package Price Calculations'!$G92</f>
        <v>0</v>
      </c>
      <c r="O25" s="43">
        <f xml:space="preserve"> 'Package Price Calculations'!$G93</f>
        <v>0</v>
      </c>
    </row>
    <row r="26" spans="2:17" x14ac:dyDescent="0.3">
      <c r="B26" s="41" t="s">
        <v>51</v>
      </c>
      <c r="C26" s="89" t="s">
        <v>84</v>
      </c>
      <c r="D26" s="42" t="str">
        <f>'Package Price Calculations'!D94</f>
        <v>Main Living Area</v>
      </c>
      <c r="E26" s="90" t="s">
        <v>572</v>
      </c>
      <c r="F26" s="43">
        <f>K26*(1+Inputs!$C$15)*IF(D26="N/A", 0, 1)</f>
        <v>2748.2124999999996</v>
      </c>
      <c r="G26" s="91">
        <f>L26*(1+Inputs!$C$15)</f>
        <v>0</v>
      </c>
      <c r="H26" s="91">
        <f>M26*(1+Inputs!$C$15)</f>
        <v>2748.2124999999996</v>
      </c>
      <c r="I26" s="91">
        <f>N26*(1+Inputs!$C$15)</f>
        <v>15689.162499999999</v>
      </c>
      <c r="J26" s="91">
        <f>O26*(1+Inputs!$C$15)</f>
        <v>29368.412499999999</v>
      </c>
      <c r="K26" s="43">
        <f>IF(D26="N/A", 0, 1)*IF(E26='Defaults and Ranges'!B$53, 'Package Price Calculations'!D95, IF(E26='Defaults and Ranges'!B$54, 'Package Price Calculations'!D96, IF(E26='Defaults and Ranges'!B$55, 'Package Price Calculations'!D97, 'Package Price Calculations'!D98)))</f>
        <v>2389.75</v>
      </c>
      <c r="L26" s="43">
        <f>IF(D26="N/A", 0, 1)* 'Package Price Calculations'!$D95</f>
        <v>0</v>
      </c>
      <c r="M26" s="43">
        <f>IF(D26="N/A", 0, 1)* 'Package Price Calculations'!$D96</f>
        <v>2389.75</v>
      </c>
      <c r="N26" s="43">
        <f>IF(D26="N/A", 0, 1)* 'Package Price Calculations'!$D97</f>
        <v>13642.75</v>
      </c>
      <c r="O26" s="43">
        <f>IF(D26="N/A", 0, 1)* 'Package Price Calculations'!$D98</f>
        <v>25537.75</v>
      </c>
    </row>
    <row r="27" spans="2:17" x14ac:dyDescent="0.3">
      <c r="C27" s="89" t="s">
        <v>85</v>
      </c>
      <c r="D27" s="42" t="str">
        <f>'Package Price Calculations'!D99</f>
        <v>Laundry Room</v>
      </c>
      <c r="E27" s="90" t="s">
        <v>572</v>
      </c>
      <c r="F27" s="43">
        <f>K27*(1+Inputs!$C$15)*IF(D27="N/A", 0, 1)</f>
        <v>6508.9999999999991</v>
      </c>
      <c r="G27" s="91">
        <f>L27*(1+Inputs!$C$15)</f>
        <v>0</v>
      </c>
      <c r="H27" s="91">
        <f>M27*(1+Inputs!$C$15)</f>
        <v>6508.9999999999991</v>
      </c>
      <c r="I27" s="91">
        <f>N27*(1+Inputs!$C$15)</f>
        <v>22034</v>
      </c>
      <c r="J27" s="91">
        <f>O27*(1+Inputs!$C$15)</f>
        <v>42653.5</v>
      </c>
      <c r="K27" s="43">
        <f>IF(D27="N/A", 0, 1)*IF(E27='Defaults and Ranges'!B$53, 'Package Price Calculations'!D100, IF(E27='Defaults and Ranges'!B$54, 'Package Price Calculations'!D101, IF(E27='Defaults and Ranges'!B$55, 'Package Price Calculations'!D102, 'Package Price Calculations'!D103)))</f>
        <v>5660</v>
      </c>
      <c r="L27" s="43">
        <f>IF(D27="N/A", 0, 1)*'Package Price Calculations'!$D100</f>
        <v>0</v>
      </c>
      <c r="M27" s="43">
        <f>IF(D27="N/A", 0, 1)*'Package Price Calculations'!$D101</f>
        <v>5660</v>
      </c>
      <c r="N27" s="43">
        <f>IF(D27="N/A", 0, 1)*'Package Price Calculations'!$D102</f>
        <v>19160</v>
      </c>
      <c r="O27" s="43">
        <f>IF(D27="N/A", 0, 1)*'Package Price Calculations'!$D103</f>
        <v>37090</v>
      </c>
    </row>
    <row r="28" spans="2:17" x14ac:dyDescent="0.3">
      <c r="B28" s="41" t="s">
        <v>14</v>
      </c>
      <c r="C28" s="89" t="s">
        <v>86</v>
      </c>
      <c r="D28" s="42" t="str">
        <f>'Package Price Calculations'!D104</f>
        <v>Garage</v>
      </c>
      <c r="E28" s="90" t="s">
        <v>572</v>
      </c>
      <c r="F28" s="43">
        <f>K28*(1+Inputs!$C$15)*IF(D28="N/A", 0, 1)</f>
        <v>2875</v>
      </c>
      <c r="G28" s="91">
        <f>L28*(1+Inputs!$C$15)</f>
        <v>0</v>
      </c>
      <c r="H28" s="91">
        <f>M28*(1+Inputs!$C$15)</f>
        <v>2875</v>
      </c>
      <c r="I28" s="91">
        <f>N28*(1+Inputs!$C$15)</f>
        <v>11896.749999999998</v>
      </c>
      <c r="J28" s="91">
        <f>O28*(1+Inputs!$C$15)</f>
        <v>27441.001</v>
      </c>
      <c r="K28" s="43">
        <f>IF(D28="N/A", 0, 1)*IF(E28='Defaults and Ranges'!B$53, 'Package Price Calculations'!D105, IF(E28='Defaults and Ranges'!B$54, 'Package Price Calculations'!D106, IF(E28='Defaults and Ranges'!B$55, 'Package Price Calculations'!D107, 'Package Price Calculations'!D108)))</f>
        <v>2500</v>
      </c>
      <c r="L28" s="43">
        <f>IF(D28="N/A", 0, 1)*'Package Price Calculations'!$D105</f>
        <v>0</v>
      </c>
      <c r="M28" s="43">
        <f>IF(D28="N/A", 0, 1)*'Package Price Calculations'!$D106</f>
        <v>2500</v>
      </c>
      <c r="N28" s="43">
        <f>IF(D28="N/A", 0, 1)*'Package Price Calculations'!$D107</f>
        <v>10345</v>
      </c>
      <c r="O28" s="43">
        <f>IF(D28="N/A", 0, 1)*'Package Price Calculations'!$D108</f>
        <v>23861.74</v>
      </c>
      <c r="Q28" s="100"/>
    </row>
    <row r="29" spans="2:17" x14ac:dyDescent="0.3">
      <c r="C29" s="89" t="s">
        <v>579</v>
      </c>
      <c r="D29" s="42" t="str">
        <f>'Package Price Calculations'!D109</f>
        <v>N/A</v>
      </c>
      <c r="E29" s="90" t="s">
        <v>572</v>
      </c>
      <c r="F29" s="43">
        <f>K29*(1+Inputs!$C$15)*IF(D29="N/A", 0, 1)</f>
        <v>0</v>
      </c>
      <c r="G29" s="91">
        <f>L29*(1+Inputs!$C$15)</f>
        <v>0</v>
      </c>
      <c r="H29" s="91">
        <f>M29*(1+Inputs!$C$15)</f>
        <v>0</v>
      </c>
      <c r="I29" s="91">
        <f>N29*(1+Inputs!$C$15)</f>
        <v>0</v>
      </c>
      <c r="J29" s="91">
        <f>O29*(1+Inputs!$C$15)</f>
        <v>0</v>
      </c>
      <c r="K29" s="43">
        <f>IF(D29="N/A", 0, 1)*IF(E29='Defaults and Ranges'!B$53, 'Package Price Calculations'!D110, IF(E29='Defaults and Ranges'!B$54, 'Package Price Calculations'!D111, IF(E29='Defaults and Ranges'!B$55, 'Package Price Calculations'!D112, 'Package Price Calculations'!D113)))</f>
        <v>0</v>
      </c>
      <c r="L29" s="43">
        <f>IF(D29="N/A", 0, 1)*'Package Price Calculations'!$D110</f>
        <v>0</v>
      </c>
      <c r="M29" s="43">
        <f>IF(D29="N/A", 0, 1)*'Package Price Calculations'!$D111</f>
        <v>0</v>
      </c>
      <c r="N29" s="43">
        <f>IF(D29="N/A", 0, 1)*'Package Price Calculations'!$D112</f>
        <v>0</v>
      </c>
      <c r="O29" s="43">
        <f>IF(D29="N/A", 0, 1)*'Package Price Calculations'!$D113</f>
        <v>0</v>
      </c>
    </row>
    <row r="30" spans="2:17" x14ac:dyDescent="0.3">
      <c r="C30" s="89" t="s">
        <v>599</v>
      </c>
      <c r="D30" s="42" t="str">
        <f>'Package Price Calculations'!D114</f>
        <v>Unfinished Basement</v>
      </c>
      <c r="E30" s="90" t="s">
        <v>572</v>
      </c>
      <c r="F30" s="43">
        <f>K30*(1+Inputs!$C$15)*IF(D30="N/A", 0, 1)</f>
        <v>1034.425</v>
      </c>
      <c r="G30" s="91">
        <f>L30*(1+Inputs!$C$15)</f>
        <v>0</v>
      </c>
      <c r="H30" s="91">
        <f>M30*(1+Inputs!$C$15)</f>
        <v>1034.425</v>
      </c>
      <c r="I30" s="91">
        <f>N30*(1+Inputs!$C$15)</f>
        <v>3627.1287499999994</v>
      </c>
      <c r="J30" s="91">
        <f>O30*(1+Inputs!$C$15)</f>
        <v>6266.0624999999991</v>
      </c>
      <c r="K30" s="43">
        <f>IF(D30="N/A", 0, 1)*IF(E30='Defaults and Ranges'!B$53, 'Package Price Calculations'!D115, IF(E30='Defaults and Ranges'!B$54, 'Package Price Calculations'!D116, IF(E30='Defaults and Ranges'!B$55, 'Package Price Calculations'!D117, 'Package Price Calculations'!D118)))</f>
        <v>899.5</v>
      </c>
      <c r="L30" s="43">
        <f>IF(D30="N/A", 0, 1)*'Package Price Calculations'!$D115</f>
        <v>0</v>
      </c>
      <c r="M30" s="43">
        <f>IF(D30="N/A", 0, 1)*'Package Price Calculations'!$D116</f>
        <v>899.5</v>
      </c>
      <c r="N30" s="43">
        <f>IF(D30="N/A", 0, 1)*'Package Price Calculations'!$D117</f>
        <v>3154.0249999999996</v>
      </c>
      <c r="O30" s="43">
        <f>IF(D30="N/A", 0, 1)*'Package Price Calculations'!$D118</f>
        <v>5448.75</v>
      </c>
    </row>
    <row r="31" spans="2:17" x14ac:dyDescent="0.3">
      <c r="C31" s="89" t="s">
        <v>33</v>
      </c>
      <c r="D31" s="42" t="str">
        <f>'Package Price Calculations'!D119</f>
        <v>N/A</v>
      </c>
      <c r="E31" s="90" t="s">
        <v>572</v>
      </c>
      <c r="F31" s="43">
        <f>K31*(1+Inputs!$C$15)*IF(D31="N/A", 0, 1)</f>
        <v>0</v>
      </c>
      <c r="G31" s="91">
        <f>L31*(1+Inputs!$C$15)</f>
        <v>0</v>
      </c>
      <c r="H31" s="91">
        <f>M31*(1+Inputs!$C$15)</f>
        <v>0</v>
      </c>
      <c r="I31" s="91">
        <f>N31*(1+Inputs!$C$15)</f>
        <v>0</v>
      </c>
      <c r="J31" s="91">
        <f>O31*(1+Inputs!$C$15)</f>
        <v>0</v>
      </c>
      <c r="K31" s="43">
        <f>IF(D31="N/A", 0, 1)*IF(E31='Defaults and Ranges'!B$53, 'Package Price Calculations'!D120, IF(E31='Defaults and Ranges'!B$54, 'Package Price Calculations'!D121, IF(E31='Defaults and Ranges'!B$55, 'Package Price Calculations'!D122, 'Package Price Calculations'!D123)))</f>
        <v>0</v>
      </c>
      <c r="L31" s="43">
        <f>IF(D31="N/A", 0, 1)*'Package Price Calculations'!$D120</f>
        <v>0</v>
      </c>
      <c r="M31" s="43">
        <f>IF(D31="N/A", 0, 1)*'Package Price Calculations'!$D121</f>
        <v>0</v>
      </c>
      <c r="N31" s="43">
        <f>IF(D31="N/A", 0, 1)*'Package Price Calculations'!$D122</f>
        <v>0</v>
      </c>
      <c r="O31" s="43">
        <f>IF(D31="N/A", 0, 1)*'Package Price Calculations'!$D123</f>
        <v>0</v>
      </c>
    </row>
    <row r="32" spans="2:17" x14ac:dyDescent="0.3">
      <c r="C32" s="89" t="s">
        <v>39</v>
      </c>
      <c r="D32" s="42" t="str">
        <f>'Package Price Calculations'!D124</f>
        <v>N/A</v>
      </c>
      <c r="E32" s="90" t="s">
        <v>572</v>
      </c>
      <c r="F32" s="43">
        <f>K32*(1+Inputs!$C$15)*IF(D32="N/A", 0, 1)</f>
        <v>0</v>
      </c>
      <c r="G32" s="91">
        <f>L32*(1+Inputs!$C$15)</f>
        <v>0</v>
      </c>
      <c r="H32" s="91">
        <f>M32*(1+Inputs!$C$15)</f>
        <v>0</v>
      </c>
      <c r="I32" s="91">
        <f>N32*(1+Inputs!$C$15)</f>
        <v>0</v>
      </c>
      <c r="J32" s="91">
        <f>O32*(1+Inputs!$C$15)</f>
        <v>0</v>
      </c>
      <c r="K32" s="43">
        <f>IF(D32="N/A", 0, 1)*IF(E32='Defaults and Ranges'!B$53, 'Package Price Calculations'!D125, IF(E32='Defaults and Ranges'!B$54, 'Package Price Calculations'!D126, IF(E32='Defaults and Ranges'!B$55, 'Package Price Calculations'!D127, 'Package Price Calculations'!D128)))</f>
        <v>0</v>
      </c>
      <c r="L32" s="43">
        <f>IF(D32="N/A", 0, 1)*'Package Price Calculations'!$D125</f>
        <v>0</v>
      </c>
      <c r="M32" s="43">
        <f>IF(D32="N/A", 0, 1)*'Package Price Calculations'!$D126</f>
        <v>0</v>
      </c>
      <c r="N32" s="43">
        <f>IF(D32="N/A", 0, 1)*'Package Price Calculations'!$D127</f>
        <v>0</v>
      </c>
      <c r="O32" s="43">
        <f>IF(D32="N/A", 0, 1)*'Package Price Calculations'!$D128</f>
        <v>0</v>
      </c>
    </row>
    <row r="33" spans="2:15" x14ac:dyDescent="0.3">
      <c r="C33" s="89" t="s">
        <v>41</v>
      </c>
      <c r="D33" s="42" t="str">
        <f>'Package Price Calculations'!D129</f>
        <v>N/A</v>
      </c>
      <c r="E33" s="90" t="s">
        <v>572</v>
      </c>
      <c r="F33" s="43">
        <f>K33*(1+Inputs!$C$15)*IF(D33="N/A", 0, 1)</f>
        <v>0</v>
      </c>
      <c r="G33" s="91">
        <f>L33*(1+Inputs!$C$15)</f>
        <v>0</v>
      </c>
      <c r="H33" s="91">
        <f>M33*(1+Inputs!$C$15)</f>
        <v>0</v>
      </c>
      <c r="I33" s="91">
        <f>N33*(1+Inputs!$C$15)</f>
        <v>0</v>
      </c>
      <c r="J33" s="91">
        <f>O33*(1+Inputs!$C$15)</f>
        <v>0</v>
      </c>
      <c r="K33" s="43">
        <f>IF(D33="N/A", 0, 1)*IF(E33='Defaults and Ranges'!B$53, 'Package Price Calculations'!D130, IF(E33='Defaults and Ranges'!B$54, 'Package Price Calculations'!D131, IF(E33='Defaults and Ranges'!B$55, 'Package Price Calculations'!D132, 'Package Price Calculations'!D133)))</f>
        <v>0</v>
      </c>
      <c r="L33" s="43">
        <f>IF(D33="N/A", 0, 1)*'Package Price Calculations'!$D130</f>
        <v>0</v>
      </c>
      <c r="M33" s="43">
        <f>IF(D33="N/A", 0, 1)*'Package Price Calculations'!$D131</f>
        <v>0</v>
      </c>
      <c r="N33" s="43">
        <f>IF(D33="N/A", 0, 1)*'Package Price Calculations'!$D132</f>
        <v>0</v>
      </c>
      <c r="O33" s="43">
        <f>IF(D33="N/A", 0, 1)*'Package Price Calculations'!$D133</f>
        <v>0</v>
      </c>
    </row>
    <row r="34" spans="2:15" x14ac:dyDescent="0.3">
      <c r="C34" s="89" t="s">
        <v>42</v>
      </c>
      <c r="D34" s="42" t="str">
        <f>'Package Price Calculations'!D134</f>
        <v>N/A</v>
      </c>
      <c r="E34" s="90" t="s">
        <v>572</v>
      </c>
      <c r="F34" s="43">
        <f>K34*(1+Inputs!$C$15)*IF(D34="N/A", 0, 1)</f>
        <v>0</v>
      </c>
      <c r="G34" s="91">
        <f>L34*(1+Inputs!$C$15)</f>
        <v>0</v>
      </c>
      <c r="H34" s="91">
        <f>M34*(1+Inputs!$C$15)</f>
        <v>0</v>
      </c>
      <c r="I34" s="91">
        <f>N34*(1+Inputs!$C$15)</f>
        <v>0</v>
      </c>
      <c r="J34" s="91">
        <f>O34*(1+Inputs!$C$15)</f>
        <v>0</v>
      </c>
      <c r="K34" s="43">
        <f>IF(D34="N/A", 0, 1)*IF(E34='Defaults and Ranges'!B$53, 'Package Price Calculations'!D135, IF(E34='Defaults and Ranges'!B$54, 'Package Price Calculations'!D136, IF(E34='Defaults and Ranges'!B$55, 'Package Price Calculations'!D137, 'Package Price Calculations'!D138)))</f>
        <v>0</v>
      </c>
      <c r="L34" s="43">
        <f>IF(D34="N/A", 0, 1)*'Package Price Calculations'!$D135</f>
        <v>0</v>
      </c>
      <c r="M34" s="43">
        <f>IF(D34="N/A", 0, 1)*'Package Price Calculations'!$D136</f>
        <v>0</v>
      </c>
      <c r="N34" s="43">
        <f>IF(D34="N/A", 0, 1)*'Package Price Calculations'!$D137</f>
        <v>0</v>
      </c>
      <c r="O34" s="43">
        <f>IF(D34="N/A", 0, 1)*'Package Price Calculations'!$D138</f>
        <v>0</v>
      </c>
    </row>
    <row r="35" spans="2:15" x14ac:dyDescent="0.3">
      <c r="C35" s="89" t="s">
        <v>43</v>
      </c>
      <c r="D35" s="42" t="str">
        <f>'Package Price Calculations'!D139</f>
        <v>N/A</v>
      </c>
      <c r="E35" s="90" t="s">
        <v>572</v>
      </c>
      <c r="F35" s="43">
        <f>K35*(1+Inputs!$C$15)*IF(D35="N/A", 0, 1)</f>
        <v>0</v>
      </c>
      <c r="G35" s="91">
        <f>L35*(1+Inputs!$C$15)</f>
        <v>0</v>
      </c>
      <c r="H35" s="91">
        <f>M35*(1+Inputs!$C$15)</f>
        <v>0</v>
      </c>
      <c r="I35" s="91">
        <f>N35*(1+Inputs!$C$15)</f>
        <v>0</v>
      </c>
      <c r="J35" s="91">
        <f>O35*(1+Inputs!$C$15)</f>
        <v>0</v>
      </c>
      <c r="K35" s="43">
        <f>IF(D35="N/A", 0, 1)*IF(E35='Defaults and Ranges'!B$53, 'Package Price Calculations'!D140, IF(E35='Defaults and Ranges'!B$54, 'Package Price Calculations'!D141, IF(E35='Defaults and Ranges'!B$55, 'Package Price Calculations'!D142, 'Package Price Calculations'!D143)))</f>
        <v>0</v>
      </c>
      <c r="L35" s="43">
        <f>IF(D35="N/A", 0, 1)*'Package Price Calculations'!$D140</f>
        <v>0</v>
      </c>
      <c r="M35" s="43">
        <f>IF(D35="N/A", 0, 1)*'Package Price Calculations'!$D141</f>
        <v>0</v>
      </c>
      <c r="N35" s="43">
        <f>IF(D35="N/A", 0, 1)*'Package Price Calculations'!$D142</f>
        <v>0</v>
      </c>
      <c r="O35" s="43">
        <f>IF(D35="N/A", 0, 1)*'Package Price Calculations'!$D143</f>
        <v>0</v>
      </c>
    </row>
    <row r="36" spans="2:15" x14ac:dyDescent="0.3">
      <c r="C36" s="89" t="s">
        <v>44</v>
      </c>
      <c r="D36" s="42" t="str">
        <f>'Package Price Calculations'!D144</f>
        <v>N/A</v>
      </c>
      <c r="E36" s="90" t="s">
        <v>572</v>
      </c>
      <c r="F36" s="43">
        <f>K36*(1+Inputs!$C$15)*IF(D36="N/A", 0, 1)</f>
        <v>0</v>
      </c>
      <c r="G36" s="91">
        <f>L36*(1+Inputs!$C$15)</f>
        <v>0</v>
      </c>
      <c r="H36" s="91">
        <f>M36*(1+Inputs!$C$15)</f>
        <v>0</v>
      </c>
      <c r="I36" s="91">
        <f>N36*(1+Inputs!$C$15)</f>
        <v>0</v>
      </c>
      <c r="J36" s="91">
        <f>O36*(1+Inputs!$C$15)</f>
        <v>0</v>
      </c>
      <c r="K36" s="43">
        <f>IF(D36="N/A", 0, 1)*IF(E36='Defaults and Ranges'!B$53, 'Package Price Calculations'!D145, IF(E36='Defaults and Ranges'!B$54, 'Package Price Calculations'!D146, IF(E36='Defaults and Ranges'!B$55, 'Package Price Calculations'!D147, 'Package Price Calculations'!D148)))</f>
        <v>0</v>
      </c>
      <c r="L36" s="43">
        <f>IF(D36="N/A", 0, 1)*'Package Price Calculations'!$D145</f>
        <v>0</v>
      </c>
      <c r="M36" s="43">
        <f>IF(D36="N/A", 0, 1)*'Package Price Calculations'!$D146</f>
        <v>0</v>
      </c>
      <c r="N36" s="43">
        <f>IF(D36="N/A", 0, 1)*'Package Price Calculations'!$D147</f>
        <v>0</v>
      </c>
      <c r="O36" s="43">
        <f>IF(D36="N/A", 0, 1)*'Package Price Calculations'!$D148</f>
        <v>0</v>
      </c>
    </row>
    <row r="37" spans="2:15" x14ac:dyDescent="0.3">
      <c r="C37" s="89" t="s">
        <v>46</v>
      </c>
      <c r="D37" s="42" t="str">
        <f>'Package Price Calculations'!D149</f>
        <v>N/A</v>
      </c>
      <c r="E37" s="90" t="s">
        <v>572</v>
      </c>
      <c r="F37" s="43">
        <f>K37*(1+Inputs!$C$15)*IF(D37="N/A", 0, 1)</f>
        <v>0</v>
      </c>
      <c r="G37" s="91">
        <f>L37*(1+Inputs!$C$15)</f>
        <v>0</v>
      </c>
      <c r="H37" s="91">
        <f>M37*(1+Inputs!$C$15)</f>
        <v>0</v>
      </c>
      <c r="I37" s="91">
        <f>N37*(1+Inputs!$C$15)</f>
        <v>0</v>
      </c>
      <c r="J37" s="91">
        <f>O37*(1+Inputs!$C$15)</f>
        <v>0</v>
      </c>
      <c r="K37" s="43">
        <f>IF(D37="N/A", 0, 1)*IF(E37='Defaults and Ranges'!B$53, 'Package Price Calculations'!D150, IF(E37='Defaults and Ranges'!B$54, 'Package Price Calculations'!D151, IF(E37='Defaults and Ranges'!B$55, 'Package Price Calculations'!D152, 'Package Price Calculations'!D153)))</f>
        <v>0</v>
      </c>
      <c r="L37" s="43">
        <f>IF(D37="N/A", 0, 1)*'Package Price Calculations'!$D150</f>
        <v>0</v>
      </c>
      <c r="M37" s="43">
        <f>IF(D37="N/A", 0, 1)*'Package Price Calculations'!$D151</f>
        <v>0</v>
      </c>
      <c r="N37" s="43">
        <f>IF(D37="N/A", 0, 1)*'Package Price Calculations'!$D152</f>
        <v>0</v>
      </c>
      <c r="O37" s="43">
        <f>IF(D37="N/A", 0, 1)*'Package Price Calculations'!$D153</f>
        <v>0</v>
      </c>
    </row>
    <row r="38" spans="2:15" x14ac:dyDescent="0.3">
      <c r="C38" s="89" t="s">
        <v>47</v>
      </c>
      <c r="D38" s="42" t="str">
        <f>'Package Price Calculations'!D154</f>
        <v>N/A</v>
      </c>
      <c r="E38" s="90" t="s">
        <v>572</v>
      </c>
      <c r="F38" s="43">
        <f>K38*(1+Inputs!$C$15)*IF(D38="N/A", 0, 1)</f>
        <v>0</v>
      </c>
      <c r="G38" s="91">
        <f>L38*(1+Inputs!$C$15)</f>
        <v>0</v>
      </c>
      <c r="H38" s="91">
        <f>M38*(1+Inputs!$C$15)</f>
        <v>0</v>
      </c>
      <c r="I38" s="91">
        <f>N38*(1+Inputs!$C$15)</f>
        <v>0</v>
      </c>
      <c r="J38" s="91">
        <f>O38*(1+Inputs!$C$15)</f>
        <v>0</v>
      </c>
      <c r="K38" s="43">
        <f>IF(D38="N/A", 0, 1)*IF(E38='Defaults and Ranges'!B$53, 'Package Price Calculations'!D155, IF(E38='Defaults and Ranges'!B$54, 'Package Price Calculations'!D156, IF(E38='Defaults and Ranges'!B$55, 'Package Price Calculations'!D157, 'Package Price Calculations'!D158)))</f>
        <v>0</v>
      </c>
      <c r="L38" s="43">
        <f>IF(D38="N/A", 0, 1)* 'Package Price Calculations'!$D155</f>
        <v>0</v>
      </c>
      <c r="M38" s="43">
        <f>IF(D38="N/A", 0, 1)* 'Package Price Calculations'!$D156</f>
        <v>0</v>
      </c>
      <c r="N38" s="43">
        <f xml:space="preserve"> IF(D38="N/A", 0, 1)*'Package Price Calculations'!$D157</f>
        <v>0</v>
      </c>
      <c r="O38" s="43">
        <f xml:space="preserve"> IF(D38="N/A", 0, 1)*'Package Price Calculations'!$D158</f>
        <v>0</v>
      </c>
    </row>
    <row r="39" spans="2:15" x14ac:dyDescent="0.3">
      <c r="C39" s="89" t="s">
        <v>48</v>
      </c>
      <c r="D39" s="42" t="str">
        <f>'Package Price Calculations'!D159</f>
        <v>N/A</v>
      </c>
      <c r="E39" s="90" t="s">
        <v>572</v>
      </c>
      <c r="F39" s="43">
        <f>K39*(1+Inputs!$C$15)*IF(D39="N/A", 0, 1)</f>
        <v>0</v>
      </c>
      <c r="G39" s="91">
        <f>L39*(1+Inputs!$C$15)</f>
        <v>0</v>
      </c>
      <c r="H39" s="91">
        <f>M39*(1+Inputs!$C$15)</f>
        <v>0</v>
      </c>
      <c r="I39" s="91">
        <f>N39*(1+Inputs!$C$15)</f>
        <v>0</v>
      </c>
      <c r="J39" s="91">
        <f>O39*(1+Inputs!$C$15)</f>
        <v>0</v>
      </c>
      <c r="K39" s="43">
        <f>IF(D39="N/A", 0, 1)*IF(E39='Defaults and Ranges'!B$53, 'Package Price Calculations'!D160, IF(E39='Defaults and Ranges'!B$54, 'Package Price Calculations'!D161, IF(E39='Defaults and Ranges'!B$55, 'Package Price Calculations'!D162, 'Package Price Calculations'!D163)))</f>
        <v>0</v>
      </c>
      <c r="L39" s="43">
        <f>IF(D39="N/A", 0, 1)* 'Package Price Calculations'!$D160</f>
        <v>0</v>
      </c>
      <c r="M39" s="43">
        <f>IF(D39="N/A", 0, 1)* 'Package Price Calculations'!$D161</f>
        <v>0</v>
      </c>
      <c r="N39" s="43">
        <f xml:space="preserve"> IF(D39="N/A", 0, 1)*'Package Price Calculations'!$D162</f>
        <v>0</v>
      </c>
      <c r="O39" s="43">
        <f xml:space="preserve"> IF(D39="N/A", 0, 1)*'Package Price Calculations'!$D163</f>
        <v>0</v>
      </c>
    </row>
    <row r="40" spans="2:15" x14ac:dyDescent="0.3">
      <c r="C40" s="89" t="s">
        <v>615</v>
      </c>
      <c r="D40" s="42" t="str">
        <f>'Package Price Calculations'!D164</f>
        <v>N/A</v>
      </c>
      <c r="E40" s="90" t="s">
        <v>572</v>
      </c>
      <c r="F40" s="43">
        <f>K40*(1+Inputs!$C$15)*IF(D40="N/A", 0, 1)</f>
        <v>0</v>
      </c>
      <c r="G40" s="91">
        <f>L40*(1+Inputs!$C$15)</f>
        <v>0</v>
      </c>
      <c r="H40" s="91">
        <f>M40*(1+Inputs!$C$15)</f>
        <v>0</v>
      </c>
      <c r="I40" s="91">
        <f>N40*(1+Inputs!$C$15)</f>
        <v>0</v>
      </c>
      <c r="J40" s="91">
        <f>O40*(1+Inputs!$C$15)</f>
        <v>0</v>
      </c>
      <c r="K40" s="43">
        <f>IF(D40="N/A", 0, 1)*IF(E40='Defaults and Ranges'!B$53, 'Package Price Calculations'!D165, IF(E40='Defaults and Ranges'!B$54, 'Package Price Calculations'!D166, IF(E40='Defaults and Ranges'!B$55, 'Package Price Calculations'!D167, 'Package Price Calculations'!D168)))</f>
        <v>0</v>
      </c>
      <c r="L40" s="43">
        <f>IF(D40="N/A", 0, 1)* 'Package Price Calculations'!$D165</f>
        <v>0</v>
      </c>
      <c r="M40" s="43">
        <f>IF(D40="N/A", 0, 1)* 'Package Price Calculations'!$D166</f>
        <v>0</v>
      </c>
      <c r="N40" s="43">
        <f xml:space="preserve"> IF(D40="N/A", 0, 1)*'Package Price Calculations'!$D167</f>
        <v>0</v>
      </c>
      <c r="O40" s="43">
        <f xml:space="preserve"> IF(D40="N/A", 0, 1)*'Package Price Calculations'!$D168</f>
        <v>0</v>
      </c>
    </row>
    <row r="41" spans="2:15" x14ac:dyDescent="0.3">
      <c r="B41" s="41" t="s">
        <v>87</v>
      </c>
      <c r="C41" s="89" t="s">
        <v>1232</v>
      </c>
      <c r="D41" s="42" t="str">
        <f>'Package Price Calculations'!D179</f>
        <v>Flooring - Main living areas, kitchen, &amp; non-room</v>
      </c>
      <c r="E41" s="90" t="s">
        <v>572</v>
      </c>
      <c r="F41" s="43">
        <f>K41*(1+Inputs!$C$15)*IF(D41="N/A", 0, 1)</f>
        <v>5948.6624999999985</v>
      </c>
      <c r="G41" s="91">
        <f>L41*(1+Inputs!$C$15)</f>
        <v>0</v>
      </c>
      <c r="H41" s="91">
        <f>M41*(1+Inputs!$C$15)</f>
        <v>5948.6624999999985</v>
      </c>
      <c r="I41" s="91">
        <f>N41*(1+Inputs!$C$15)</f>
        <v>13087.057499999999</v>
      </c>
      <c r="J41" s="91">
        <f>O41*(1+Inputs!$C$15)</f>
        <v>20820.318749999999</v>
      </c>
      <c r="K41" s="43">
        <f>IF(D41="N/A", 0, 1)*IF(E41='Defaults and Ranges'!B$53, 'Package Price Calculations'!D180, IF(E41='Defaults and Ranges'!B$54, 'Package Price Calculations'!D181, IF(E41='Defaults and Ranges'!B$55, 'Package Price Calculations'!D182, 'Package Price Calculations'!D183)))</f>
        <v>5172.7499999999991</v>
      </c>
      <c r="L41" s="43">
        <f>IF(D41="N/A", 0, 1)* 'Package Price Calculations'!$D180</f>
        <v>0</v>
      </c>
      <c r="M41" s="43">
        <f>IF(D41="N/A", 0, 1)* 'Package Price Calculations'!$D181</f>
        <v>5172.7499999999991</v>
      </c>
      <c r="N41" s="43">
        <f xml:space="preserve"> IF(D41="N/A", 0, 1)*'Package Price Calculations'!$D182</f>
        <v>11380.05</v>
      </c>
      <c r="O41" s="43">
        <f xml:space="preserve"> IF(D41="N/A", 0, 1)*'Package Price Calculations'!$D183</f>
        <v>18104.625</v>
      </c>
    </row>
    <row r="42" spans="2:15" x14ac:dyDescent="0.3">
      <c r="C42" s="89" t="s">
        <v>88</v>
      </c>
      <c r="D42" s="42" t="str">
        <f>'Package Price Calculations'!D184</f>
        <v>Stairs</v>
      </c>
      <c r="E42" s="90" t="s">
        <v>572</v>
      </c>
      <c r="F42" s="43">
        <f>K42*(1+Inputs!$C$15)*IF(D42="N/A", 0, 1)</f>
        <v>5520</v>
      </c>
      <c r="G42" s="91">
        <f>L42*(1+Inputs!$C$15)</f>
        <v>0</v>
      </c>
      <c r="H42" s="91">
        <f>M42*(1+Inputs!$C$15)</f>
        <v>5520</v>
      </c>
      <c r="I42" s="91">
        <f>N42*(1+Inputs!$C$15)</f>
        <v>45195</v>
      </c>
      <c r="J42" s="91">
        <f>O42*(1+Inputs!$C$15)</f>
        <v>71645</v>
      </c>
      <c r="K42" s="43">
        <f>IF(D42="N/A", 0, 1)*IF(E42='Defaults and Ranges'!B$53, 'Package Price Calculations'!D185, IF(E42='Defaults and Ranges'!B$54, 'Package Price Calculations'!D186, IF(E42='Defaults and Ranges'!B$55, 'Package Price Calculations'!D187, 'Package Price Calculations'!D188)))</f>
        <v>4800</v>
      </c>
      <c r="L42" s="43">
        <f>IF(D42="N/A", 0, 1)* 'Package Price Calculations'!$D185</f>
        <v>0</v>
      </c>
      <c r="M42" s="43">
        <f>IF(D42="N/A", 0, 1)* 'Package Price Calculations'!$D186</f>
        <v>4800</v>
      </c>
      <c r="N42" s="43">
        <f xml:space="preserve"> IF(D42="N/A", 0, 1)*'Package Price Calculations'!$D187</f>
        <v>39300</v>
      </c>
      <c r="O42" s="43">
        <f xml:space="preserve"> IF(D42="N/A", 0, 1)*'Package Price Calculations'!$D188</f>
        <v>62300</v>
      </c>
    </row>
    <row r="43" spans="2:15" x14ac:dyDescent="0.3">
      <c r="C43" s="89" t="s">
        <v>89</v>
      </c>
      <c r="D43" s="42" t="str">
        <f>'Package Price Calculations'!D189</f>
        <v>Windows</v>
      </c>
      <c r="E43" s="90" t="s">
        <v>572</v>
      </c>
      <c r="F43" s="43">
        <f>K43*(1+Inputs!$C$15)*IF(D43="N/A", 0, 1)</f>
        <v>7719.3750000000018</v>
      </c>
      <c r="G43" s="91">
        <f>L43*(1+Inputs!$C$15)</f>
        <v>0</v>
      </c>
      <c r="H43" s="91">
        <f>M43*(1+Inputs!$C$15)</f>
        <v>7719.3750000000018</v>
      </c>
      <c r="I43" s="91">
        <f>N43*(1+Inputs!$C$15)</f>
        <v>25443.749999999996</v>
      </c>
      <c r="J43" s="91">
        <f>O43*(1+Inputs!$C$15)</f>
        <v>59081.249999999993</v>
      </c>
      <c r="K43" s="43">
        <f>IF(D43="N/A", 0, 1)*IF(E43='Defaults and Ranges'!B$53, 'Package Price Calculations'!D190, IF(E43='Defaults and Ranges'!B$54, 'Package Price Calculations'!D191, IF(E43='Defaults and Ranges'!B$55, 'Package Price Calculations'!D192, 'Package Price Calculations'!D193)))</f>
        <v>6712.5000000000018</v>
      </c>
      <c r="L43" s="43">
        <f>IF(D43="N/A", 0, 1)* 'Package Price Calculations'!$D190</f>
        <v>0</v>
      </c>
      <c r="M43" s="43">
        <f>IF(D43="N/A", 0, 1)* 'Package Price Calculations'!$D191</f>
        <v>6712.5000000000018</v>
      </c>
      <c r="N43" s="43">
        <f xml:space="preserve"> IF(D43="N/A", 0, 1)*'Package Price Calculations'!$D192</f>
        <v>22125</v>
      </c>
      <c r="O43" s="43">
        <f xml:space="preserve"> IF(D43="N/A", 0, 1)*'Package Price Calculations'!$D193</f>
        <v>51375</v>
      </c>
    </row>
    <row r="44" spans="2:15" x14ac:dyDescent="0.3">
      <c r="C44" s="89" t="s">
        <v>90</v>
      </c>
      <c r="D44" s="42" t="s">
        <v>90</v>
      </c>
      <c r="E44" s="90" t="s">
        <v>572</v>
      </c>
      <c r="F44" s="43">
        <f>K44*(1+Inputs!$C$15)*IF(D44="N/A", 0, 1)</f>
        <v>2052.75</v>
      </c>
      <c r="G44" s="91">
        <f>L44*(1+Inputs!$C$15)</f>
        <v>0</v>
      </c>
      <c r="H44" s="91">
        <f>M44*(1+Inputs!$C$15)</f>
        <v>2052.75</v>
      </c>
      <c r="I44" s="91">
        <f>N44*(1+Inputs!$C$15)</f>
        <v>7990.0850000000009</v>
      </c>
      <c r="J44" s="91">
        <f>O44*(1+Inputs!$C$15)</f>
        <v>45082.299999999996</v>
      </c>
      <c r="K44" s="43">
        <f>IF(D44="N/A", 0, 1)*IF(E44='Defaults and Ranges'!B$53, 'Package Price Calculations'!D195, IF(E44='Defaults and Ranges'!B$54, 'Package Price Calculations'!D196, IF(E44='Defaults and Ranges'!B$55, 'Package Price Calculations'!D197, 'Package Price Calculations'!D198)))</f>
        <v>1785</v>
      </c>
      <c r="L44" s="43">
        <f>IF(D44="N/A", 0, 1)* 'Package Price Calculations'!$D195</f>
        <v>0</v>
      </c>
      <c r="M44" s="43">
        <f>IF(D44="N/A", 0, 1)* 'Package Price Calculations'!$D196</f>
        <v>1785</v>
      </c>
      <c r="N44" s="43">
        <f xml:space="preserve"> IF(D44="N/A", 0, 1)*'Package Price Calculations'!$D197</f>
        <v>6947.9000000000015</v>
      </c>
      <c r="O44" s="43">
        <f xml:space="preserve"> IF(D44="N/A", 0, 1)*'Package Price Calculations'!$D198</f>
        <v>39202</v>
      </c>
    </row>
    <row r="45" spans="2:15" x14ac:dyDescent="0.3">
      <c r="C45" s="89" t="s">
        <v>91</v>
      </c>
      <c r="D45" s="42" t="str">
        <f>'Package Price Calculations'!D199</f>
        <v>N/A</v>
      </c>
      <c r="E45" s="90" t="s">
        <v>572</v>
      </c>
      <c r="F45" s="43">
        <f>K45*(1+Inputs!$C$15)*IF(D45="N/A", 0, 1)</f>
        <v>0</v>
      </c>
      <c r="G45" s="91">
        <f>L45*(1+Inputs!$C$15)</f>
        <v>0</v>
      </c>
      <c r="H45" s="91">
        <f>M45*(1+Inputs!$C$15)</f>
        <v>0</v>
      </c>
      <c r="I45" s="91">
        <f>N45*(1+Inputs!$C$15)</f>
        <v>0</v>
      </c>
      <c r="J45" s="91">
        <f>O45*(1+Inputs!$C$15)</f>
        <v>0</v>
      </c>
      <c r="K45" s="43">
        <f>IF(D45="N/A", 0, 1)*IF(E45='Defaults and Ranges'!B$53, 'Package Price Calculations'!D200, IF(E45='Defaults and Ranges'!B$54, 'Package Price Calculations'!D201, IF(E45='Defaults and Ranges'!B$55, 'Package Price Calculations'!D202, 'Package Price Calculations'!D203)))</f>
        <v>0</v>
      </c>
      <c r="L45" s="43">
        <f>IF(D45="N/A", 0, 1)* 'Package Price Calculations'!$D200</f>
        <v>0</v>
      </c>
      <c r="M45" s="43">
        <f>IF(D45="N/A", 0, 1)* 'Package Price Calculations'!$D201</f>
        <v>0</v>
      </c>
      <c r="N45" s="43">
        <f xml:space="preserve"> IF(D45="N/A", 0, 1)*'Package Price Calculations'!$D202</f>
        <v>0</v>
      </c>
      <c r="O45" s="43">
        <f xml:space="preserve"> IF(D45="N/A", 0, 1)*'Package Price Calculations'!$D203</f>
        <v>0</v>
      </c>
    </row>
    <row r="46" spans="2:15" x14ac:dyDescent="0.3">
      <c r="B46" s="41" t="s">
        <v>92</v>
      </c>
      <c r="C46" s="89" t="s">
        <v>93</v>
      </c>
      <c r="D46" s="42" t="s">
        <v>93</v>
      </c>
      <c r="E46" s="90" t="s">
        <v>572</v>
      </c>
      <c r="F46" s="43">
        <f>K46*(1+Inputs!$C$15)*IF(D46="N/A", 0, 1)</f>
        <v>0</v>
      </c>
      <c r="G46" s="91">
        <f>L46*(1+Inputs!$C$15)</f>
        <v>0</v>
      </c>
      <c r="H46" s="91">
        <f>M46*(1+Inputs!$C$15)</f>
        <v>0</v>
      </c>
      <c r="I46" s="91">
        <f>N46*(1+Inputs!$C$15)</f>
        <v>0</v>
      </c>
      <c r="J46" s="91">
        <f>O46*(1+Inputs!$C$15)</f>
        <v>0</v>
      </c>
      <c r="K46" s="43">
        <f>IF(D46="N/A", 0, 1)*IF(E46='Defaults and Ranges'!B$53, 'Package Price Calculations'!D175, IF(E46='Defaults and Ranges'!B$54, 'Package Price Calculations'!D176, IF(E46='Defaults and Ranges'!B$55, 'Package Price Calculations'!D177, 'Package Price Calculations'!D178)))</f>
        <v>0</v>
      </c>
      <c r="L46" s="43">
        <f>IF(D46="N/A", 0, 1)* 'Package Price Calculations'!$D175</f>
        <v>0</v>
      </c>
      <c r="M46" s="43">
        <f>IF(D46="N/A", 0, 1)* 'Package Price Calculations'!$D176</f>
        <v>0</v>
      </c>
      <c r="N46" s="43">
        <f xml:space="preserve"> IF(D46="N/A", 0, 1)*'Package Price Calculations'!$D177</f>
        <v>0</v>
      </c>
      <c r="O46" s="43">
        <f xml:space="preserve"> IF(D46="N/A", 0, 1)*'Package Price Calculations'!$D178</f>
        <v>0</v>
      </c>
    </row>
    <row r="47" spans="2:15" x14ac:dyDescent="0.3">
      <c r="C47" s="89" t="s">
        <v>94</v>
      </c>
      <c r="D47" s="42" t="s">
        <v>94</v>
      </c>
      <c r="E47" s="90" t="s">
        <v>572</v>
      </c>
      <c r="F47" s="43">
        <f>K47*(1+Inputs!$C$15)*IF(D47="N/A", 0, 1)</f>
        <v>2940.5407177750003</v>
      </c>
      <c r="G47" s="91">
        <f>L47*(1+Inputs!$C$15)</f>
        <v>0</v>
      </c>
      <c r="H47" s="91">
        <f>M47*(1+Inputs!$C$15)</f>
        <v>2940.5407177750003</v>
      </c>
      <c r="I47" s="91">
        <f>N47*(1+Inputs!$C$15)</f>
        <v>6712.4946936250008</v>
      </c>
      <c r="J47" s="91">
        <f>O47*(1+Inputs!$C$15)</f>
        <v>13225.68318625</v>
      </c>
      <c r="K47" s="43">
        <f>IF(D47="N/A", 0, 1)*IF(E47='Defaults and Ranges'!B$53, 'Package Price Calculations'!D215, IF(E47='Defaults and Ranges'!B$54, 'Package Price Calculations'!D216, IF(E47='Defaults and Ranges'!B$55, 'Package Price Calculations'!D217, 'Package Price Calculations'!D218)))</f>
        <v>2556.9919285000005</v>
      </c>
      <c r="L47" s="43">
        <f>IF(D47="N/A", 0, 1)* 'Package Price Calculations'!$D215</f>
        <v>0</v>
      </c>
      <c r="M47" s="43">
        <f>IF(D47="N/A", 0, 1)* 'Package Price Calculations'!$D216</f>
        <v>2556.9919285000005</v>
      </c>
      <c r="N47" s="43">
        <f xml:space="preserve"> IF(D47="N/A", 0, 1)*'Package Price Calculations'!$D217</f>
        <v>5836.9519075000007</v>
      </c>
      <c r="O47" s="43">
        <f xml:space="preserve"> IF(D47="N/A", 0, 1)*'Package Price Calculations'!$D218</f>
        <v>11500.594075000001</v>
      </c>
    </row>
    <row r="48" spans="2:15" x14ac:dyDescent="0.3">
      <c r="C48" s="89" t="s">
        <v>95</v>
      </c>
      <c r="D48" s="42" t="s">
        <v>95</v>
      </c>
      <c r="E48" s="90" t="s">
        <v>572</v>
      </c>
      <c r="F48" s="43">
        <f>K48*(1+Inputs!$C$15)*IF(D48="N/A", 0, 1)</f>
        <v>3346.4999999999995</v>
      </c>
      <c r="G48" s="91">
        <f>L48*(1+Inputs!$C$15)</f>
        <v>0</v>
      </c>
      <c r="H48" s="91">
        <f>M48*(1+Inputs!$C$15)</f>
        <v>3346.4999999999995</v>
      </c>
      <c r="I48" s="91">
        <f>N48*(1+Inputs!$C$15)</f>
        <v>10131.5</v>
      </c>
      <c r="J48" s="91">
        <f>O48*(1+Inputs!$C$15)</f>
        <v>19044</v>
      </c>
      <c r="K48" s="43">
        <f>IF(D48="N/A", 0, 1)*IF(E48='Defaults and Ranges'!B$53, 'Package Price Calculations'!D220, IF(E48='Defaults and Ranges'!B$54, 'Package Price Calculations'!D221, IF(E48='Defaults and Ranges'!B$55, 'Package Price Calculations'!D222, 'Package Price Calculations'!D223)))</f>
        <v>2910</v>
      </c>
      <c r="L48" s="43">
        <f>IF(D48="N/A", 0, 1)* 'Package Price Calculations'!$D220</f>
        <v>0</v>
      </c>
      <c r="M48" s="43">
        <f>IF(D48="N/A", 0, 1)* 'Package Price Calculations'!$D221</f>
        <v>2910</v>
      </c>
      <c r="N48" s="43">
        <f xml:space="preserve"> IF(D48="N/A", 0, 1)*'Package Price Calculations'!$D222</f>
        <v>8810</v>
      </c>
      <c r="O48" s="43">
        <f xml:space="preserve"> IF(D48="N/A", 0, 1)*'Package Price Calculations'!$D223</f>
        <v>16560</v>
      </c>
    </row>
    <row r="49" spans="2:16" x14ac:dyDescent="0.3">
      <c r="C49" s="89" t="s">
        <v>807</v>
      </c>
      <c r="D49" s="42" t="s">
        <v>807</v>
      </c>
      <c r="E49" s="90" t="s">
        <v>572</v>
      </c>
      <c r="F49" s="43">
        <f>K49*(1+Inputs!$C$15)*IF(D49="N/A", 0, 1)</f>
        <v>12396.067862518838</v>
      </c>
      <c r="G49" s="91">
        <f>L49*(1+Inputs!$C$15)</f>
        <v>0</v>
      </c>
      <c r="H49" s="91">
        <f>M49*(1+Inputs!$C$15)</f>
        <v>12396.067862518838</v>
      </c>
      <c r="I49" s="91">
        <f>N49*(1+Inputs!$C$15)</f>
        <v>31860.766155274927</v>
      </c>
      <c r="J49" s="91">
        <f>O49*(1+Inputs!$C$15)</f>
        <v>86465.315013328058</v>
      </c>
      <c r="K49" s="43">
        <f>IF(D49="N/A", 0, 1)*IF(E49='Defaults and Ranges'!B$53, 'Package Price Calculations'!D225, IF(E49='Defaults and Ranges'!B$54, 'Package Price Calculations'!D226, IF(E49='Defaults and Ranges'!B$55, 'Package Price Calculations'!D227, 'Package Price Calculations'!D228)))</f>
        <v>10779.189445668555</v>
      </c>
      <c r="L49" s="43">
        <f>IF(D49="N/A", 0, 1)* 'Package Price Calculations'!$D225</f>
        <v>0</v>
      </c>
      <c r="M49" s="43">
        <f>IF(D49="N/A", 0, 1)* 'Package Price Calculations'!$D226</f>
        <v>10779.189445668555</v>
      </c>
      <c r="N49" s="43">
        <f xml:space="preserve"> IF(D49="N/A", 0, 1)*'Package Price Calculations'!$D227</f>
        <v>27705.014048065157</v>
      </c>
      <c r="O49" s="43">
        <f xml:space="preserve"> IF(D49="N/A", 0, 1)*'Package Price Calculations'!$D228</f>
        <v>75187.230446372225</v>
      </c>
    </row>
    <row r="50" spans="2:16" x14ac:dyDescent="0.3">
      <c r="B50" s="41" t="s">
        <v>1144</v>
      </c>
      <c r="C50" s="89" t="s">
        <v>97</v>
      </c>
      <c r="D50" s="42" t="s">
        <v>817</v>
      </c>
      <c r="E50" s="90" t="s">
        <v>572</v>
      </c>
      <c r="F50" s="43">
        <f>K50*(1+Inputs!$C$15)*IF(D50="N/A", 0, 1)</f>
        <v>0</v>
      </c>
      <c r="G50" s="91">
        <f>L50*(1+Inputs!$C$15)</f>
        <v>0</v>
      </c>
      <c r="H50" s="91">
        <f>M50*(1+Inputs!$C$15)</f>
        <v>0</v>
      </c>
      <c r="I50" s="91">
        <f>N50*(1+Inputs!$C$15)</f>
        <v>0</v>
      </c>
      <c r="J50" s="91">
        <f>O50*(1+Inputs!$C$15)</f>
        <v>0</v>
      </c>
      <c r="K50" s="43"/>
      <c r="L50" s="43"/>
      <c r="M50" s="43"/>
      <c r="N50" s="43"/>
      <c r="O50" s="43"/>
    </row>
    <row r="51" spans="2:16" x14ac:dyDescent="0.3">
      <c r="C51" s="89" t="s">
        <v>98</v>
      </c>
      <c r="D51" s="42" t="s">
        <v>98</v>
      </c>
      <c r="E51" s="90" t="s">
        <v>572</v>
      </c>
      <c r="F51" s="43">
        <f>K51*(1+Inputs!$C$15)*IF(D51="N/A", 0, 1)</f>
        <v>1351.25</v>
      </c>
      <c r="G51" s="91">
        <f>L51*(1+Inputs!$C$15)</f>
        <v>0</v>
      </c>
      <c r="H51" s="91">
        <f>M51*(1+Inputs!$C$15)</f>
        <v>1351.25</v>
      </c>
      <c r="I51" s="91">
        <f>N51*(1+Inputs!$C$15)</f>
        <v>4703.5</v>
      </c>
      <c r="J51" s="91">
        <f>O51*(1+Inputs!$C$15)</f>
        <v>8803.25</v>
      </c>
      <c r="K51" s="43">
        <f>IF(D51="N/A", 0, 1)*IF(E51='Defaults and Ranges'!B$53, 'Package Price Calculations'!D235, IF(E51='Defaults and Ranges'!B$54, 'Package Price Calculations'!D236, IF(E51='Defaults and Ranges'!B$55, 'Package Price Calculations'!D237, 'Package Price Calculations'!D238)))</f>
        <v>1175</v>
      </c>
      <c r="L51" s="43">
        <f>IF(D51="N/A", 0, 1)* 'Package Price Calculations'!$D235</f>
        <v>0</v>
      </c>
      <c r="M51" s="43">
        <f>IF(D51="N/A", 0, 1)* 'Package Price Calculations'!$D236</f>
        <v>1175</v>
      </c>
      <c r="N51" s="43">
        <f xml:space="preserve"> IF(D51="N/A", 0, 1)*'Package Price Calculations'!$D237</f>
        <v>4090</v>
      </c>
      <c r="O51" s="43">
        <f xml:space="preserve"> IF(D51="N/A", 0, 1)*'Package Price Calculations'!$D238</f>
        <v>7655</v>
      </c>
    </row>
    <row r="52" spans="2:16" x14ac:dyDescent="0.3">
      <c r="C52" s="89" t="s">
        <v>99</v>
      </c>
      <c r="D52" s="42" t="s">
        <v>99</v>
      </c>
      <c r="E52" s="90" t="s">
        <v>572</v>
      </c>
      <c r="F52" s="43">
        <f>K52*(1+Inputs!$C$15)*IF(D52="N/A", 0, 1)</f>
        <v>11097.5</v>
      </c>
      <c r="G52" s="91">
        <f>L52*(1+Inputs!$C$15)</f>
        <v>0</v>
      </c>
      <c r="H52" s="91">
        <f>M52*(1+Inputs!$C$15)</f>
        <v>11097.5</v>
      </c>
      <c r="I52" s="91">
        <f>N52*(1+Inputs!$C$15)</f>
        <v>25702.499999999996</v>
      </c>
      <c r="J52" s="91">
        <f>O52*(1+Inputs!$C$15)</f>
        <v>35305</v>
      </c>
      <c r="K52" s="43">
        <f>IF(D52="N/A", 0, 1)*IF(E52='Defaults and Ranges'!B$53, 'Package Price Calculations'!D240, IF(E52='Defaults and Ranges'!B$54, 'Package Price Calculations'!D241, IF(E52='Defaults and Ranges'!B$55, 'Package Price Calculations'!D242, 'Package Price Calculations'!D243)))</f>
        <v>9650</v>
      </c>
      <c r="L52" s="43">
        <f>IF(D52="N/A", 0, 1)* 'Package Price Calculations'!$D240</f>
        <v>0</v>
      </c>
      <c r="M52" s="43">
        <f>IF(D52="N/A", 0, 1)* 'Package Price Calculations'!$D241</f>
        <v>9650</v>
      </c>
      <c r="N52" s="43">
        <f xml:space="preserve"> IF(D52="N/A", 0, 1)*'Package Price Calculations'!$D242</f>
        <v>22350</v>
      </c>
      <c r="O52" s="43">
        <f xml:space="preserve"> IF(D52="N/A", 0, 1)*'Package Price Calculations'!$D243</f>
        <v>30700</v>
      </c>
    </row>
    <row r="53" spans="2:16" x14ac:dyDescent="0.3">
      <c r="C53" s="89" t="s">
        <v>100</v>
      </c>
      <c r="D53" s="42" t="s">
        <v>100</v>
      </c>
      <c r="E53" s="90" t="s">
        <v>572</v>
      </c>
      <c r="F53" s="43">
        <f>K53*(1+Inputs!$C$15)*IF(D53="N/A", 0, 1)</f>
        <v>1380</v>
      </c>
      <c r="G53" s="91">
        <f>L53*(1+Inputs!$C$15)</f>
        <v>0</v>
      </c>
      <c r="H53" s="91">
        <f>M53*(1+Inputs!$C$15)</f>
        <v>1380</v>
      </c>
      <c r="I53" s="91">
        <f>N53*(1+Inputs!$C$15)</f>
        <v>6899.9999999999991</v>
      </c>
      <c r="J53" s="91">
        <f>O53*(1+Inputs!$C$15)</f>
        <v>9660</v>
      </c>
      <c r="K53" s="43">
        <f>IF(D53="N/A", 0, 1)*IF(E53='Defaults and Ranges'!B$53, 'Package Price Calculations'!D245, IF(E53='Defaults and Ranges'!B$54, 'Package Price Calculations'!D246, IF(E53='Defaults and Ranges'!B$55, 'Package Price Calculations'!D247, 'Package Price Calculations'!D248)))</f>
        <v>1200</v>
      </c>
      <c r="L53" s="43">
        <f>IF(D53="N/A", 0, 1)* 'Package Price Calculations'!$D245</f>
        <v>0</v>
      </c>
      <c r="M53" s="43">
        <f>IF(D53="N/A", 0, 1)* 'Package Price Calculations'!$D246</f>
        <v>1200</v>
      </c>
      <c r="N53" s="43">
        <f xml:space="preserve"> IF(D53="N/A", 0, 1)*'Package Price Calculations'!$D247</f>
        <v>6000</v>
      </c>
      <c r="O53" s="43">
        <f xml:space="preserve"> IF(D53="N/A", 0, 1)*'Package Price Calculations'!$D248</f>
        <v>8400</v>
      </c>
    </row>
    <row r="54" spans="2:16" x14ac:dyDescent="0.3">
      <c r="C54" s="89" t="s">
        <v>101</v>
      </c>
      <c r="D54" s="42" t="s">
        <v>101</v>
      </c>
      <c r="E54" s="90" t="s">
        <v>572</v>
      </c>
      <c r="F54" s="43">
        <f>K54*(1+Inputs!$C$15)*IF(D54="N/A", 0, 1)</f>
        <v>690</v>
      </c>
      <c r="G54" s="91">
        <f>L54*(1+Inputs!$C$15)</f>
        <v>0</v>
      </c>
      <c r="H54" s="91">
        <f>M54*(1+Inputs!$C$15)</f>
        <v>690</v>
      </c>
      <c r="I54" s="91">
        <f>N54*(1+Inputs!$C$15)</f>
        <v>1862.9999999999998</v>
      </c>
      <c r="J54" s="91">
        <f>O54*(1+Inputs!$C$15)</f>
        <v>4485</v>
      </c>
      <c r="K54" s="43">
        <f>IF(D54="N/A", 0, 1)*IF(E54='Defaults and Ranges'!B$53, 'Package Price Calculations'!D250, IF(E54='Defaults and Ranges'!B$54, 'Package Price Calculations'!D251, IF(E54='Defaults and Ranges'!B$55, 'Package Price Calculations'!D252, 'Package Price Calculations'!D253)))</f>
        <v>600</v>
      </c>
      <c r="L54" s="43">
        <f>IF(D54="N/A", 0, 1)* 'Package Price Calculations'!$D250</f>
        <v>0</v>
      </c>
      <c r="M54" s="43">
        <f>IF(D54="N/A", 0, 1)* 'Package Price Calculations'!$D251</f>
        <v>600</v>
      </c>
      <c r="N54" s="43">
        <f xml:space="preserve"> IF(D54="N/A", 0, 1)*'Package Price Calculations'!$D252</f>
        <v>1620</v>
      </c>
      <c r="O54" s="43">
        <f xml:space="preserve"> IF(D54="N/A", 0, 1)*'Package Price Calculations'!$D253</f>
        <v>3900</v>
      </c>
    </row>
    <row r="55" spans="2:16" x14ac:dyDescent="0.3">
      <c r="C55" s="89" t="s">
        <v>25</v>
      </c>
      <c r="D55" s="42" t="s">
        <v>25</v>
      </c>
      <c r="E55" s="90" t="s">
        <v>572</v>
      </c>
      <c r="F55" s="43">
        <f>K55*(1+Inputs!$C$15)*IF(D55="N/A", 0, 1)</f>
        <v>4510.2414074999988</v>
      </c>
      <c r="G55" s="91">
        <f>L55*(1+Inputs!$C$15)</f>
        <v>0</v>
      </c>
      <c r="H55" s="91">
        <f>M55*(1+Inputs!$C$15)</f>
        <v>4510.2414074999988</v>
      </c>
      <c r="I55" s="91">
        <f>N55*(1+Inputs!$C$15)</f>
        <v>29456.328907499996</v>
      </c>
      <c r="J55" s="91">
        <f>O55*(1+Inputs!$C$15)</f>
        <v>38382.489182500001</v>
      </c>
      <c r="K55" s="43">
        <f>IF(D55="N/A", 0, 1)*IF(E55='Defaults and Ranges'!B$53, 'Package Price Calculations'!D255, IF(E55='Defaults and Ranges'!B$54, 'Package Price Calculations'!D256, IF(E55='Defaults and Ranges'!B$55, 'Package Price Calculations'!D257, 'Package Price Calculations'!D258)))</f>
        <v>3921.9490499999993</v>
      </c>
      <c r="L55" s="43">
        <f>IF(D55="N/A", 0, 1)* 'Package Price Calculations'!$D255</f>
        <v>0</v>
      </c>
      <c r="M55" s="43">
        <f>IF(D55="N/A", 0, 1)* 'Package Price Calculations'!$D256</f>
        <v>3921.9490499999993</v>
      </c>
      <c r="N55" s="43">
        <f xml:space="preserve"> IF(D55="N/A", 0, 1)*'Package Price Calculations'!$D257</f>
        <v>25614.199049999999</v>
      </c>
      <c r="O55" s="43">
        <f xml:space="preserve"> IF(D55="N/A", 0, 1)*'Package Price Calculations'!$D258</f>
        <v>33376.077550000002</v>
      </c>
    </row>
    <row r="56" spans="2:16" x14ac:dyDescent="0.3">
      <c r="B56" s="41" t="s">
        <v>102</v>
      </c>
      <c r="C56" s="89" t="s">
        <v>103</v>
      </c>
      <c r="D56" s="42" t="s">
        <v>103</v>
      </c>
      <c r="E56" s="90" t="s">
        <v>572</v>
      </c>
      <c r="F56" s="43">
        <f>K56*(1+Inputs!$C$15)*IF(D56="N/A", 0, 1)</f>
        <v>7451.3028124999983</v>
      </c>
      <c r="G56" s="91">
        <f>L56*(1+Inputs!$C$15)</f>
        <v>0</v>
      </c>
      <c r="H56" s="91">
        <f>M56*(1+Inputs!$C$15)</f>
        <v>7451.3028124999983</v>
      </c>
      <c r="I56" s="91">
        <f>N56*(1+Inputs!$C$15)</f>
        <v>16427.570312499996</v>
      </c>
      <c r="J56" s="91">
        <f>O56*(1+Inputs!$C$15)</f>
        <v>23327.570312499993</v>
      </c>
      <c r="K56" s="43">
        <f>IF(D56="N/A", 0, 1)*IF(E56='Defaults and Ranges'!B$53, 'Package Price Calculations'!D260, IF(E56='Defaults and Ranges'!B$54, 'Package Price Calculations'!D261, IF(E56='Defaults and Ranges'!B$55, 'Package Price Calculations'!D262, 'Package Price Calculations'!D263)))</f>
        <v>6479.3937499999993</v>
      </c>
      <c r="L56" s="43">
        <f>IF(D56="N/A", 0, 1)* 'Package Price Calculations'!$D260</f>
        <v>0</v>
      </c>
      <c r="M56" s="43">
        <f>IF(D56="N/A", 0, 1)* 'Package Price Calculations'!$D261</f>
        <v>6479.3937499999993</v>
      </c>
      <c r="N56" s="43">
        <f xml:space="preserve"> IF(D56="N/A", 0, 1)*'Package Price Calculations'!$D262</f>
        <v>14284.843749999996</v>
      </c>
      <c r="O56" s="43">
        <f xml:space="preserve"> IF(D56="N/A", 0, 1)*'Package Price Calculations'!$D263</f>
        <v>20284.843749999996</v>
      </c>
    </row>
    <row r="57" spans="2:16" x14ac:dyDescent="0.3">
      <c r="C57" s="89" t="s">
        <v>104</v>
      </c>
      <c r="D57" s="42" t="s">
        <v>104</v>
      </c>
      <c r="E57" s="90" t="s">
        <v>572</v>
      </c>
      <c r="F57" s="43">
        <f>K57*(1+Inputs!$C$15)*IF(D57="N/A", 0, 1)</f>
        <v>7247.2384717464574</v>
      </c>
      <c r="G57" s="91">
        <f>L57*(1+Inputs!$C$15)</f>
        <v>0</v>
      </c>
      <c r="H57" s="91">
        <f>M57*(1+Inputs!$C$15)</f>
        <v>7247.2384717464574</v>
      </c>
      <c r="I57" s="91">
        <f>N57*(1+Inputs!$C$15)</f>
        <v>17707.169304916231</v>
      </c>
      <c r="J57" s="91">
        <f>O57*(1+Inputs!$C$15)</f>
        <v>23455.577155267983</v>
      </c>
      <c r="K57" s="43">
        <f>IF(D57="N/A", 0, 1)*IF(E57='Defaults and Ranges'!B$53, 'Package Price Calculations'!D265, IF(E57='Defaults and Ranges'!B$54, 'Package Price Calculations'!D266, IF(E57='Defaults and Ranges'!B$55, 'Package Price Calculations'!D267, 'Package Price Calculations'!D268)))</f>
        <v>6301.946497170833</v>
      </c>
      <c r="L57" s="43">
        <f>IF(D57="N/A", 0, 1)* 'Package Price Calculations'!$D265</f>
        <v>0</v>
      </c>
      <c r="M57" s="43">
        <f>IF(D57="N/A", 0, 1)* 'Package Price Calculations'!$D266</f>
        <v>6301.946497170833</v>
      </c>
      <c r="N57" s="43">
        <f xml:space="preserve"> IF(D57="N/A", 0, 1)*'Package Price Calculations'!$D267</f>
        <v>15397.538526014116</v>
      </c>
      <c r="O57" s="43">
        <f xml:space="preserve"> IF(D57="N/A", 0, 1)*'Package Price Calculations'!$D268</f>
        <v>20396.154048059117</v>
      </c>
    </row>
    <row r="58" spans="2:16" x14ac:dyDescent="0.3">
      <c r="C58" s="89" t="s">
        <v>105</v>
      </c>
      <c r="D58" s="42" t="s">
        <v>105</v>
      </c>
      <c r="E58" s="90" t="s">
        <v>572</v>
      </c>
      <c r="F58" s="43">
        <f>K58*(1+Inputs!$C$15)*IF(D58="N/A", 0, 1)</f>
        <v>2420.75</v>
      </c>
      <c r="G58" s="91">
        <f>L58*(1+Inputs!$C$15)</f>
        <v>0</v>
      </c>
      <c r="H58" s="91">
        <f>M58*(1+Inputs!$C$15)</f>
        <v>2420.75</v>
      </c>
      <c r="I58" s="91">
        <f>N58*(1+Inputs!$C$15)</f>
        <v>7558.8302083333338</v>
      </c>
      <c r="J58" s="91">
        <f>O58*(1+Inputs!$C$15)</f>
        <v>13573.892065476188</v>
      </c>
      <c r="K58" s="43">
        <f>IF(D58="N/A", 0, 1)*IF(E58='Defaults and Ranges'!B$53, 'Package Price Calculations'!D270, IF(E58='Defaults and Ranges'!B$54, 'Package Price Calculations'!D271, IF(E58='Defaults and Ranges'!B$55, 'Package Price Calculations'!D272, 'Package Price Calculations'!D273)))</f>
        <v>2105</v>
      </c>
      <c r="L58" s="43">
        <f>IF(D58="N/A", 0, 1)* 'Package Price Calculations'!$D270</f>
        <v>0</v>
      </c>
      <c r="M58" s="43">
        <f>IF(D58="N/A", 0, 1)* 'Package Price Calculations'!$D271</f>
        <v>2105</v>
      </c>
      <c r="N58" s="43">
        <f xml:space="preserve"> IF(D58="N/A", 0, 1)*'Package Price Calculations'!$D272</f>
        <v>6572.8958333333339</v>
      </c>
      <c r="O58" s="43">
        <f xml:space="preserve"> IF(D58="N/A", 0, 1)*'Package Price Calculations'!$D273</f>
        <v>11803.384404761904</v>
      </c>
    </row>
    <row r="59" spans="2:16" x14ac:dyDescent="0.3">
      <c r="C59" s="89" t="s">
        <v>106</v>
      </c>
      <c r="D59" s="42" t="s">
        <v>106</v>
      </c>
      <c r="E59" s="90" t="s">
        <v>572</v>
      </c>
      <c r="F59" s="43">
        <f>K59*(1+Inputs!$C$15)*IF(D59="N/A", 0, 1)</f>
        <v>757.51506339644209</v>
      </c>
      <c r="G59" s="91">
        <f>L59*(1+Inputs!$C$15)</f>
        <v>0</v>
      </c>
      <c r="H59" s="91">
        <f>M59*(1+Inputs!$C$15)</f>
        <v>757.51506339644209</v>
      </c>
      <c r="I59" s="91">
        <f>N59*(1+Inputs!$C$15)</f>
        <v>1767.535147925033</v>
      </c>
      <c r="J59" s="91">
        <f>O59*(1+Inputs!$C$15)</f>
        <v>5862.6405917001312</v>
      </c>
      <c r="K59" s="43">
        <f>IF(D59="N/A", 0, 1)*IF(E59='Defaults and Ranges'!B$53, 'Package Price Calculations'!D275, IF(E59='Defaults and Ranges'!B$54, 'Package Price Calculations'!D276, IF(E59='Defaults and Ranges'!B$55, 'Package Price Calculations'!D277, 'Package Price Calculations'!D278)))</f>
        <v>658.70875077951496</v>
      </c>
      <c r="L59" s="43">
        <f>IF(D59="N/A", 0, 1)* 'Package Price Calculations'!$D275</f>
        <v>0</v>
      </c>
      <c r="M59" s="43">
        <f>IF(D59="N/A", 0, 1)* 'Package Price Calculations'!$D276</f>
        <v>658.70875077951496</v>
      </c>
      <c r="N59" s="43">
        <f xml:space="preserve"> IF(D59="N/A", 0, 1)*'Package Price Calculations'!$D277</f>
        <v>1536.9870851522028</v>
      </c>
      <c r="O59" s="43">
        <f xml:space="preserve"> IF(D59="N/A", 0, 1)*'Package Price Calculations'!$D278</f>
        <v>5097.9483406088102</v>
      </c>
    </row>
    <row r="60" spans="2:16" x14ac:dyDescent="0.3">
      <c r="C60" s="89" t="s">
        <v>107</v>
      </c>
      <c r="D60" s="42" t="str">
        <f>'Package Price Calculations'!D279</f>
        <v>N/A</v>
      </c>
      <c r="E60" s="90" t="s">
        <v>572</v>
      </c>
      <c r="F60" s="43">
        <f>K60*(1+Inputs!$C$15)*IF(D60="N/A", 0, 1)</f>
        <v>0</v>
      </c>
      <c r="G60" s="91">
        <f>L60*(1+Inputs!$C$15)</f>
        <v>0</v>
      </c>
      <c r="H60" s="91">
        <f>M60*(1+Inputs!$C$15)</f>
        <v>0</v>
      </c>
      <c r="I60" s="91">
        <f>N60*(1+Inputs!$C$15)</f>
        <v>0</v>
      </c>
      <c r="J60" s="91">
        <f>O60*(1+Inputs!$C$15)</f>
        <v>0</v>
      </c>
      <c r="K60" s="43">
        <f>IF(D60="N/A", 0, 1)*IF(E60='Defaults and Ranges'!B$53, 'Package Price Calculations'!D280, IF(E60='Defaults and Ranges'!B$54, 'Package Price Calculations'!D281, IF(E60='Defaults and Ranges'!B$55, 'Package Price Calculations'!D282, 'Package Price Calculations'!D283)))</f>
        <v>0</v>
      </c>
      <c r="L60" s="43">
        <f>IF(D60="N/A", 0, 1)* 'Package Price Calculations'!$D280</f>
        <v>0</v>
      </c>
      <c r="M60" s="43">
        <f>IF(D60="N/A", 0, 1)* 'Package Price Calculations'!$D281</f>
        <v>0</v>
      </c>
      <c r="N60" s="43">
        <f xml:space="preserve"> IF(D60="N/A", 0, 1)*'Package Price Calculations'!$D282</f>
        <v>0</v>
      </c>
      <c r="O60" s="43">
        <f xml:space="preserve"> IF(D60="N/A", 0, 1)*'Package Price Calculations'!$D283</f>
        <v>0</v>
      </c>
    </row>
    <row r="61" spans="2:16" x14ac:dyDescent="0.3">
      <c r="B61" s="41" t="s">
        <v>87</v>
      </c>
      <c r="C61" s="89" t="s">
        <v>657</v>
      </c>
      <c r="D61" s="42" t="str">
        <f>'Package Price Calculations'!D169</f>
        <v>N/A</v>
      </c>
      <c r="E61" s="90" t="s">
        <v>572</v>
      </c>
      <c r="F61" s="43">
        <f>K61*(1+Inputs!$C$15)*IF(D61="N/A", 0, 1)</f>
        <v>0</v>
      </c>
      <c r="G61" s="91">
        <f>L61*(1+Inputs!$C$15)</f>
        <v>0</v>
      </c>
      <c r="H61" s="91">
        <f>M61*(1+Inputs!$C$15)</f>
        <v>0</v>
      </c>
      <c r="I61" s="91">
        <f>N61*(1+Inputs!$C$15)</f>
        <v>0</v>
      </c>
      <c r="J61" s="91">
        <f>O61*(1+Inputs!$C$15)</f>
        <v>0</v>
      </c>
      <c r="K61" s="43">
        <f>IF(D61="N/A", 0, 1)*IF(E61='Defaults and Ranges'!B$53, 'Package Price Calculations'!D170, IF(E61='Defaults and Ranges'!B$54, 'Package Price Calculations'!D171, IF(E61='Defaults and Ranges'!B$55, 'Package Price Calculations'!D172, 'Package Price Calculations'!D173)))</f>
        <v>0</v>
      </c>
      <c r="L61" s="43">
        <f>IF(D61="N/A", 0, 1)* 'Package Price Calculations'!$D170</f>
        <v>0</v>
      </c>
      <c r="M61" s="43">
        <f>IF(D61="N/A", 0, 1)* 'Package Price Calculations'!$D171</f>
        <v>0</v>
      </c>
      <c r="N61" s="43">
        <f xml:space="preserve"> IF(D61="N/A", 0, 1)*'Package Price Calculations'!$D172</f>
        <v>0</v>
      </c>
      <c r="O61" s="43">
        <f xml:space="preserve"> IF(D61="N/A", 0, 1)*'Package Price Calculations'!$D173</f>
        <v>0</v>
      </c>
    </row>
    <row r="62" spans="2:16" x14ac:dyDescent="0.3">
      <c r="B62" s="41" t="s">
        <v>87</v>
      </c>
      <c r="C62" s="89" t="s">
        <v>673</v>
      </c>
      <c r="D62" s="42" t="s">
        <v>673</v>
      </c>
      <c r="E62" s="90" t="s">
        <v>572</v>
      </c>
      <c r="F62" s="43">
        <f>K62*(1+Inputs!$C$15)*IF(D62="N/A", 0, 1)</f>
        <v>704.85608333333403</v>
      </c>
      <c r="G62" s="91">
        <f>L62*(1+Inputs!$C$15)</f>
        <v>0</v>
      </c>
      <c r="H62" s="91">
        <f>M62*(1+Inputs!$C$15)</f>
        <v>704.85608333333403</v>
      </c>
      <c r="I62" s="91">
        <f>N62*(1+Inputs!$C$15)</f>
        <v>4634.3140833333327</v>
      </c>
      <c r="J62" s="91">
        <f>O62*(1+Inputs!$C$15)</f>
        <v>7210.0265833333333</v>
      </c>
      <c r="K62" s="43">
        <f>IF(D62="N/A", 0, 1)*IF(E62='Defaults and Ranges'!B$53, 'Package Price Calculations'!D205, IF(E62='Defaults and Ranges'!B$54, 'Package Price Calculations'!D206, IF(E62='Defaults and Ranges'!B$55, 'Package Price Calculations'!D207, 'Package Price Calculations'!D208)))</f>
        <v>612.91833333333398</v>
      </c>
      <c r="L62" s="43">
        <f>IF(D62="N/A", 0, 1)* 'Package Price Calculations'!$D205</f>
        <v>0</v>
      </c>
      <c r="M62" s="43">
        <f>IF(D62="N/A", 0, 1)* 'Package Price Calculations'!$D206</f>
        <v>612.91833333333398</v>
      </c>
      <c r="N62" s="43">
        <f xml:space="preserve"> IF(D62="N/A", 0, 1)*'Package Price Calculations'!$D207</f>
        <v>4029.8383333333331</v>
      </c>
      <c r="O62" s="43">
        <f xml:space="preserve"> IF(D62="N/A", 0, 1)*'Package Price Calculations'!$D208</f>
        <v>6269.588333333334</v>
      </c>
    </row>
    <row r="63" spans="2:16" x14ac:dyDescent="0.3">
      <c r="B63" s="41" t="s">
        <v>1038</v>
      </c>
      <c r="C63" s="89" t="s">
        <v>788</v>
      </c>
      <c r="D63" s="42" t="str">
        <f>'Package Price Calculations'!D300</f>
        <v>N/A</v>
      </c>
      <c r="E63" s="90" t="s">
        <v>572</v>
      </c>
      <c r="F63" s="43">
        <f>K63*(1+Inputs!$C$15)*IF(D63="N/A", 0, 1)</f>
        <v>0</v>
      </c>
      <c r="G63" s="91">
        <f>L63*(1+Inputs!$C$15)</f>
        <v>0</v>
      </c>
      <c r="H63" s="91">
        <f>M63*(1+Inputs!$C$15)</f>
        <v>0</v>
      </c>
      <c r="I63" s="91">
        <f>N63*(1+Inputs!$C$15)</f>
        <v>0</v>
      </c>
      <c r="J63" s="91">
        <f>O63*(1+Inputs!$C$15)</f>
        <v>0</v>
      </c>
      <c r="K63" s="43">
        <f>IF(D63="N/A", 0, 1)*IF(E63='Defaults and Ranges'!B$53, 'Package Price Calculations'!D301, IF(E63='Defaults and Ranges'!B$54, 'Package Price Calculations'!D302, IF(E63='Defaults and Ranges'!B$55, 'Package Price Calculations'!D303, 'Package Price Calculations'!D304)))</f>
        <v>0</v>
      </c>
      <c r="L63" s="43">
        <f>IF(D63="N/A", 0, 1)* 'Package Price Calculations'!$D301</f>
        <v>0</v>
      </c>
      <c r="M63" s="43">
        <f>IF(D63="N/A", 0, 1)* 'Package Price Calculations'!$D302</f>
        <v>0</v>
      </c>
      <c r="N63" s="43">
        <f xml:space="preserve"> IF(D63="N/A", 0, 1)*'Package Price Calculations'!$D303</f>
        <v>0</v>
      </c>
      <c r="O63" s="43">
        <f xml:space="preserve"> IF(D63="N/A", 0, 1)*'Package Price Calculations'!$D304</f>
        <v>0</v>
      </c>
    </row>
    <row r="64" spans="2:16" x14ac:dyDescent="0.3">
      <c r="B64" s="41" t="s">
        <v>1038</v>
      </c>
      <c r="C64" s="89" t="s">
        <v>29</v>
      </c>
      <c r="D64" s="42" t="str">
        <f>IF('Attributes Inputs and Outputs'!H20='Defaults and Ranges'!J36, "N/A", C64)</f>
        <v>N/A</v>
      </c>
      <c r="E64" s="90" t="s">
        <v>572</v>
      </c>
      <c r="F64" s="43">
        <f>K64*(1+0.05)*IF(D64="N/A", 0, 1)</f>
        <v>0</v>
      </c>
      <c r="G64" s="91">
        <f>L64*(1+0.05)</f>
        <v>0</v>
      </c>
      <c r="H64" s="91">
        <f>M64*(1+0.05)</f>
        <v>0</v>
      </c>
      <c r="I64" s="91">
        <f>N64*(1+0.05)</f>
        <v>0</v>
      </c>
      <c r="J64" s="91">
        <f>O64*(1+0.05)</f>
        <v>0</v>
      </c>
      <c r="K64" s="43">
        <f>IF(D64="N/A", 0, 1)*IF(E64='Defaults and Ranges'!B$53, 'Package Price Calculations'!D286, IF(E64='Defaults and Ranges'!B$54, 'Package Price Calculations'!D287, IF(E64='Defaults and Ranges'!B$55, 'Package Price Calculations'!D288, 'Package Price Calculations'!D289)))</f>
        <v>0</v>
      </c>
      <c r="L64" s="43">
        <f>IF(D64="N/A", 0, 1)* 'Package Price Calculations'!$D286</f>
        <v>0</v>
      </c>
      <c r="M64" s="43">
        <f>IF(D64="N/A", 0, 1)* 'Package Price Calculations'!$D287</f>
        <v>0</v>
      </c>
      <c r="N64" s="43">
        <f xml:space="preserve"> IF(D64="N/A", 0, 1)*'Package Price Calculations'!$D288</f>
        <v>0</v>
      </c>
      <c r="O64" s="43">
        <f xml:space="preserve"> IF(D64="N/A", 0, 1)*'Package Price Calculations'!$D289</f>
        <v>0</v>
      </c>
      <c r="P64" s="41" t="s">
        <v>1140</v>
      </c>
    </row>
    <row r="65" spans="2:15" x14ac:dyDescent="0.3">
      <c r="B65" s="41" t="s">
        <v>1038</v>
      </c>
      <c r="C65" s="89" t="s">
        <v>27</v>
      </c>
      <c r="D65" s="42" t="str">
        <f>'Package Price Calculations'!D295</f>
        <v>N/A</v>
      </c>
      <c r="E65" s="90" t="s">
        <v>572</v>
      </c>
      <c r="F65" s="43">
        <f>K65*(1+Inputs!$C$15)*IF(D65="N/A", 0, 1)</f>
        <v>0</v>
      </c>
      <c r="G65" s="91">
        <f>L65*(1+Inputs!$C$15)</f>
        <v>0</v>
      </c>
      <c r="H65" s="91">
        <f>M65*(1+Inputs!$C$15)</f>
        <v>0</v>
      </c>
      <c r="I65" s="91">
        <f>N65*(1+Inputs!$C$15)</f>
        <v>0</v>
      </c>
      <c r="J65" s="91">
        <f>O65*(1+Inputs!$C$15)</f>
        <v>0</v>
      </c>
      <c r="K65" s="43">
        <f>IF(D65="N/A", 0, 1)*IF(E65='Defaults and Ranges'!B$53, 'Package Price Calculations'!D296, IF(E65='Defaults and Ranges'!B$54, 'Package Price Calculations'!D297, IF(E65='Defaults and Ranges'!B$55, 'Package Price Calculations'!D298, 'Package Price Calculations'!D299)))</f>
        <v>0</v>
      </c>
      <c r="L65" s="43">
        <f>IF(D65="N/A", 0, 1)* 'Package Price Calculations'!$D296</f>
        <v>0</v>
      </c>
      <c r="M65" s="43">
        <f>IF(D65="N/A", 0, 1)* 'Package Price Calculations'!$D297</f>
        <v>0</v>
      </c>
      <c r="N65" s="43">
        <f xml:space="preserve"> IF(D65="N/A", 0, 1)*'Package Price Calculations'!$D298</f>
        <v>0</v>
      </c>
      <c r="O65" s="43">
        <f xml:space="preserve"> IF(D65="N/A", 0, 1)*'Package Price Calculations'!$D299</f>
        <v>0</v>
      </c>
    </row>
    <row r="66" spans="2:15" x14ac:dyDescent="0.3">
      <c r="B66" s="41" t="s">
        <v>87</v>
      </c>
      <c r="C66" s="89" t="s">
        <v>1307</v>
      </c>
      <c r="D66" s="42" t="s">
        <v>1307</v>
      </c>
      <c r="E66" s="90" t="s">
        <v>572</v>
      </c>
      <c r="F66" s="43">
        <f>K66*(1+Inputs!$C$15)*IF(D66="N/A", 0, 1)</f>
        <v>453.23142857142852</v>
      </c>
      <c r="G66" s="91">
        <f>L66*(1+Inputs!$C$15)</f>
        <v>0</v>
      </c>
      <c r="H66" s="91">
        <f>M66*(1+Inputs!$C$15)</f>
        <v>453.23142857142852</v>
      </c>
      <c r="I66" s="91">
        <f>N66*(1+Inputs!$C$15)</f>
        <v>944.23214285714289</v>
      </c>
      <c r="J66" s="91">
        <f>O66*(1+Inputs!$C$15)</f>
        <v>1548.5407142857143</v>
      </c>
      <c r="K66" s="43">
        <f>IF(D66="N/A", 0, 1)*IF(E66='Defaults and Ranges'!B$53, 'Package Price Calculations'!D210, IF(E66='Defaults and Ranges'!B$54, 'Package Price Calculations'!D211, IF(E66='Defaults and Ranges'!B$55, 'Package Price Calculations'!D212, 'Package Price Calculations'!D213)))</f>
        <v>394.1142857142857</v>
      </c>
      <c r="L66" s="43">
        <f>'Package Price Calculations'!D210</f>
        <v>0</v>
      </c>
      <c r="M66" s="43">
        <f>'Package Price Calculations'!D211</f>
        <v>394.1142857142857</v>
      </c>
      <c r="N66" s="43">
        <f>'Package Price Calculations'!D212</f>
        <v>821.07142857142867</v>
      </c>
      <c r="O66" s="43">
        <f>'Package Price Calculations'!D213</f>
        <v>1346.5571428571429</v>
      </c>
    </row>
    <row r="67" spans="2:15" x14ac:dyDescent="0.3">
      <c r="L67" s="42"/>
    </row>
    <row r="68" spans="2:15" x14ac:dyDescent="0.3">
      <c r="L68" s="42"/>
    </row>
    <row r="71" spans="2:15" x14ac:dyDescent="0.3">
      <c r="F71" s="43"/>
    </row>
  </sheetData>
  <sortState xmlns:xlrd2="http://schemas.microsoft.com/office/spreadsheetml/2017/richdata2" ref="A8:O64">
    <sortCondition sortBy="icon" ref="E61"/>
  </sortState>
  <conditionalFormatting sqref="D61:F61 D33:F39 E60:F61 K31:K33 G31:J39 C31:C40 C31:F32 C29:J29 C8:K18 C20:K28 C19:E19 D40 C45:E45 G56:J61 C41:J44 C55:E55 C56:F60 C46:J54 K38:O61 E63:J65 E8:E66">
    <cfRule type="expression" dxfId="35" priority="46">
      <formula>MOD(ROW(),2)=0</formula>
    </cfRule>
  </conditionalFormatting>
  <conditionalFormatting sqref="C61 C63:C65">
    <cfRule type="expression" dxfId="34" priority="43">
      <formula>MOD(ROW(),2)=0</formula>
    </cfRule>
  </conditionalFormatting>
  <conditionalFormatting sqref="C63">
    <cfRule type="expression" dxfId="33" priority="41">
      <formula>MOD(ROW(),2)=0</formula>
    </cfRule>
  </conditionalFormatting>
  <conditionalFormatting sqref="L8:O18 L31:O33 L20:O28">
    <cfRule type="expression" dxfId="32" priority="39">
      <formula>MOD(ROW(),2)=0</formula>
    </cfRule>
  </conditionalFormatting>
  <conditionalFormatting sqref="K35">
    <cfRule type="expression" dxfId="31" priority="35">
      <formula>MOD(ROW(),2)=0</formula>
    </cfRule>
  </conditionalFormatting>
  <conditionalFormatting sqref="L35:O35">
    <cfRule type="expression" dxfId="30" priority="34">
      <formula>MOD(ROW(),2)=0</formula>
    </cfRule>
  </conditionalFormatting>
  <conditionalFormatting sqref="K36">
    <cfRule type="expression" dxfId="29" priority="31">
      <formula>MOD(ROW(),2)=0</formula>
    </cfRule>
  </conditionalFormatting>
  <conditionalFormatting sqref="L36:O36">
    <cfRule type="expression" dxfId="28" priority="30">
      <formula>MOD(ROW(),2)=0</formula>
    </cfRule>
  </conditionalFormatting>
  <conditionalFormatting sqref="K34">
    <cfRule type="expression" dxfId="27" priority="29">
      <formula>MOD(ROW(),2)=0</formula>
    </cfRule>
  </conditionalFormatting>
  <conditionalFormatting sqref="L34:O34">
    <cfRule type="expression" dxfId="26" priority="28">
      <formula>MOD(ROW(),2)=0</formula>
    </cfRule>
  </conditionalFormatting>
  <conditionalFormatting sqref="F45:J45">
    <cfRule type="expression" dxfId="25" priority="27">
      <formula>MOD(ROW(),2)=0</formula>
    </cfRule>
  </conditionalFormatting>
  <conditionalFormatting sqref="K37">
    <cfRule type="expression" dxfId="24" priority="26">
      <formula>MOD(ROW(),2)=0</formula>
    </cfRule>
  </conditionalFormatting>
  <conditionalFormatting sqref="L37:O37">
    <cfRule type="expression" dxfId="23" priority="25">
      <formula>MOD(ROW(),2)=0</formula>
    </cfRule>
  </conditionalFormatting>
  <conditionalFormatting sqref="C30:J30">
    <cfRule type="expression" dxfId="22" priority="24">
      <formula>MOD(ROW(),2)=0</formula>
    </cfRule>
  </conditionalFormatting>
  <conditionalFormatting sqref="L29:O29">
    <cfRule type="expression" dxfId="21" priority="21">
      <formula>MOD(ROW(),2)=0</formula>
    </cfRule>
  </conditionalFormatting>
  <conditionalFormatting sqref="K29">
    <cfRule type="expression" dxfId="20" priority="22">
      <formula>MOD(ROW(),2)=0</formula>
    </cfRule>
  </conditionalFormatting>
  <conditionalFormatting sqref="L30:O30">
    <cfRule type="expression" dxfId="19" priority="19">
      <formula>MOD(ROW(),2)=0</formula>
    </cfRule>
  </conditionalFormatting>
  <conditionalFormatting sqref="K30">
    <cfRule type="expression" dxfId="18" priority="20">
      <formula>MOD(ROW(),2)=0</formula>
    </cfRule>
  </conditionalFormatting>
  <conditionalFormatting sqref="F19:J19">
    <cfRule type="expression" dxfId="17" priority="18">
      <formula>MOD(ROW(),2)=0</formula>
    </cfRule>
  </conditionalFormatting>
  <conditionalFormatting sqref="K19">
    <cfRule type="expression" dxfId="16" priority="16">
      <formula>MOD(ROW(),2)=0</formula>
    </cfRule>
  </conditionalFormatting>
  <conditionalFormatting sqref="L19:O19">
    <cfRule type="expression" dxfId="15" priority="15">
      <formula>MOD(ROW(),2)=0</formula>
    </cfRule>
  </conditionalFormatting>
  <conditionalFormatting sqref="E40:J40">
    <cfRule type="expression" dxfId="14" priority="14">
      <formula>MOD(ROW(),2)=0</formula>
    </cfRule>
  </conditionalFormatting>
  <conditionalFormatting sqref="C62:E62 D62:D65">
    <cfRule type="expression" dxfId="13" priority="13">
      <formula>MOD(ROW(),2)=0</formula>
    </cfRule>
  </conditionalFormatting>
  <conditionalFormatting sqref="F62:J62">
    <cfRule type="expression" dxfId="12" priority="12">
      <formula>MOD(ROW(),2)=0</formula>
    </cfRule>
  </conditionalFormatting>
  <conditionalFormatting sqref="D63">
    <cfRule type="expression" dxfId="11" priority="11">
      <formula>MOD(ROW(),2)=0</formula>
    </cfRule>
  </conditionalFormatting>
  <conditionalFormatting sqref="D63">
    <cfRule type="expression" dxfId="10" priority="10">
      <formula>MOD(ROW(),2)=0</formula>
    </cfRule>
  </conditionalFormatting>
  <conditionalFormatting sqref="F55:J55">
    <cfRule type="expression" dxfId="9" priority="9">
      <formula>MOD(ROW(),2)=0</formula>
    </cfRule>
  </conditionalFormatting>
  <conditionalFormatting sqref="K62:O62">
    <cfRule type="expression" dxfId="8" priority="8">
      <formula>MOD(ROW(),2)=0</formula>
    </cfRule>
  </conditionalFormatting>
  <conditionalFormatting sqref="K65:O65">
    <cfRule type="expression" dxfId="7" priority="7">
      <formula>MOD(ROW(),2)=0</formula>
    </cfRule>
  </conditionalFormatting>
  <conditionalFormatting sqref="K63:O63">
    <cfRule type="expression" dxfId="6" priority="6">
      <formula>MOD(ROW(),2)=0</formula>
    </cfRule>
  </conditionalFormatting>
  <conditionalFormatting sqref="K64:O64">
    <cfRule type="expression" dxfId="5" priority="5">
      <formula>MOD(ROW(),2)=0</formula>
    </cfRule>
  </conditionalFormatting>
  <conditionalFormatting sqref="E66:J66">
    <cfRule type="expression" dxfId="4" priority="4">
      <formula>MOD(ROW(),2)=0</formula>
    </cfRule>
  </conditionalFormatting>
  <conditionalFormatting sqref="C66">
    <cfRule type="expression" dxfId="3" priority="3">
      <formula>MOD(ROW(),2)=0</formula>
    </cfRule>
  </conditionalFormatting>
  <conditionalFormatting sqref="D66">
    <cfRule type="expression" dxfId="2" priority="2">
      <formula>MOD(ROW(),2)=0</formula>
    </cfRule>
  </conditionalFormatting>
  <conditionalFormatting sqref="K66:O66">
    <cfRule type="expression" dxfId="1" priority="1">
      <formula>MOD(ROW(),2)=0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EAE59BA3-B054-4D73-95C0-851CB3C35841}">
          <x14:formula1>
            <xm:f>'Defaults and Ranges'!$B$53:$B$56</xm:f>
          </x14:formula1>
          <xm:sqref>E8:E66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2:BD320"/>
  <sheetViews>
    <sheetView topLeftCell="A178" workbookViewId="0">
      <selection activeCell="B199" sqref="B199"/>
    </sheetView>
  </sheetViews>
  <sheetFormatPr defaultColWidth="8.88671875" defaultRowHeight="14.4" x14ac:dyDescent="0.3"/>
  <cols>
    <col min="1" max="1" width="15.6640625" bestFit="1" customWidth="1"/>
    <col min="2" max="2" width="51.6640625" bestFit="1" customWidth="1"/>
    <col min="3" max="3" width="37.109375" customWidth="1"/>
    <col min="4" max="4" width="51.6640625" bestFit="1" customWidth="1"/>
    <col min="5" max="5" width="37.109375" customWidth="1"/>
    <col min="6" max="8" width="37.109375" bestFit="1" customWidth="1"/>
    <col min="9" max="9" width="19.33203125" bestFit="1" customWidth="1"/>
    <col min="10" max="10" width="15.44140625" bestFit="1" customWidth="1"/>
    <col min="11" max="11" width="16.33203125" bestFit="1" customWidth="1"/>
    <col min="12" max="13" width="17" bestFit="1" customWidth="1"/>
    <col min="14" max="14" width="21.44140625" bestFit="1" customWidth="1"/>
    <col min="15" max="15" width="12.109375" bestFit="1" customWidth="1"/>
    <col min="16" max="16" width="8.109375" bestFit="1" customWidth="1"/>
  </cols>
  <sheetData>
    <row r="2" spans="1:56" x14ac:dyDescent="0.3">
      <c r="D2" t="s">
        <v>108</v>
      </c>
      <c r="E2" t="s">
        <v>65</v>
      </c>
      <c r="F2" s="59" t="s">
        <v>9</v>
      </c>
      <c r="G2" s="59" t="s">
        <v>10</v>
      </c>
      <c r="H2" s="59" t="s">
        <v>109</v>
      </c>
      <c r="I2" s="59" t="s">
        <v>12</v>
      </c>
      <c r="J2" s="109" t="s">
        <v>51</v>
      </c>
      <c r="K2" s="109"/>
      <c r="L2" s="109"/>
      <c r="M2" s="109"/>
      <c r="N2" s="109"/>
      <c r="O2" s="109"/>
      <c r="P2" s="59" t="s">
        <v>15</v>
      </c>
      <c r="Q2" s="59" t="s">
        <v>110</v>
      </c>
      <c r="R2" s="59" t="s">
        <v>17</v>
      </c>
      <c r="S2" s="59"/>
      <c r="T2" s="59"/>
      <c r="U2" s="59" t="s">
        <v>111</v>
      </c>
      <c r="V2" s="59" t="s">
        <v>52</v>
      </c>
    </row>
    <row r="3" spans="1:56" ht="15" thickBot="1" x14ac:dyDescent="0.35">
      <c r="F3">
        <f>'Attributes Inputs and Outputs'!B8</f>
        <v>3</v>
      </c>
      <c r="J3" t="s">
        <v>33</v>
      </c>
      <c r="K3" t="s">
        <v>112</v>
      </c>
      <c r="L3" t="s">
        <v>41</v>
      </c>
      <c r="M3" t="s">
        <v>42</v>
      </c>
      <c r="N3" t="s">
        <v>46</v>
      </c>
      <c r="O3" t="s">
        <v>48</v>
      </c>
      <c r="R3" s="59" t="s">
        <v>12</v>
      </c>
      <c r="S3" s="59" t="s">
        <v>21</v>
      </c>
      <c r="T3" s="59" t="s">
        <v>22</v>
      </c>
    </row>
    <row r="4" spans="1:56" ht="18" thickBot="1" x14ac:dyDescent="0.4">
      <c r="A4" t="s">
        <v>65</v>
      </c>
      <c r="B4" s="27" t="s">
        <v>65</v>
      </c>
      <c r="C4" s="28" t="s">
        <v>59</v>
      </c>
      <c r="D4" s="27"/>
      <c r="E4" s="27"/>
      <c r="F4" s="27"/>
      <c r="G4" s="27"/>
      <c r="H4" s="27"/>
      <c r="I4" s="2"/>
      <c r="K4" s="2"/>
      <c r="L4" s="2"/>
      <c r="M4" s="2"/>
      <c r="N4" s="2"/>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row>
    <row r="5" spans="1:56" ht="17.399999999999999" x14ac:dyDescent="0.35">
      <c r="C5" s="28" t="s">
        <v>61</v>
      </c>
      <c r="D5" s="2"/>
      <c r="E5" s="2"/>
      <c r="F5" s="2"/>
      <c r="G5" s="2"/>
      <c r="H5" s="2"/>
    </row>
    <row r="6" spans="1:56" ht="17.399999999999999" x14ac:dyDescent="0.35">
      <c r="C6" s="28" t="s">
        <v>62</v>
      </c>
      <c r="D6" s="2"/>
      <c r="E6" s="2">
        <f>'Package Price Back Calcs'!G103-'Package Price Back Calcs'!G95</f>
        <v>11586</v>
      </c>
      <c r="F6" s="2"/>
      <c r="G6" s="2"/>
      <c r="H6" s="2"/>
    </row>
    <row r="7" spans="1:56" ht="17.399999999999999" x14ac:dyDescent="0.35">
      <c r="C7" s="28" t="s">
        <v>63</v>
      </c>
      <c r="D7" s="2"/>
      <c r="E7" s="2">
        <f>'Package Price Back Calcs'!G111-'Package Price Back Calcs'!G95</f>
        <v>61648</v>
      </c>
      <c r="F7" s="2"/>
      <c r="G7" s="2"/>
      <c r="H7" s="2"/>
    </row>
    <row r="8" spans="1:56" ht="18" thickBot="1" x14ac:dyDescent="0.4">
      <c r="C8" s="28" t="s">
        <v>64</v>
      </c>
      <c r="D8" s="2"/>
      <c r="E8" s="2">
        <f>'Package Price Back Calcs'!G119-'Package Price Back Calcs'!G95</f>
        <v>109382.5</v>
      </c>
      <c r="F8" s="2"/>
      <c r="G8" s="2"/>
      <c r="H8" s="2"/>
    </row>
    <row r="9" spans="1:56" ht="18" thickBot="1" x14ac:dyDescent="0.4">
      <c r="A9" t="s">
        <v>66</v>
      </c>
      <c r="B9" s="27" t="s">
        <v>67</v>
      </c>
      <c r="C9" s="28" t="s">
        <v>59</v>
      </c>
      <c r="D9" s="27"/>
      <c r="E9" s="27"/>
      <c r="F9" s="27" t="s">
        <v>67</v>
      </c>
      <c r="G9" s="27"/>
      <c r="H9" s="27"/>
    </row>
    <row r="10" spans="1:56" ht="17.399999999999999" x14ac:dyDescent="0.35">
      <c r="C10" s="28" t="s">
        <v>61</v>
      </c>
      <c r="D10" s="2"/>
      <c r="E10" s="2"/>
      <c r="F10" s="2"/>
      <c r="G10" s="2"/>
      <c r="H10" s="2"/>
    </row>
    <row r="11" spans="1:56" ht="17.399999999999999" x14ac:dyDescent="0.35">
      <c r="C11" s="28" t="s">
        <v>62</v>
      </c>
      <c r="D11" s="2">
        <f>'Package Price Back Calcs'!D28-'Package Price Back Calcs'!D21</f>
        <v>3150</v>
      </c>
      <c r="E11" s="2"/>
      <c r="F11" s="2">
        <f>D11*(1+(Inputs!$C$42*('Attributes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3150</v>
      </c>
      <c r="G11" s="2"/>
      <c r="H11" s="2"/>
    </row>
    <row r="12" spans="1:56" ht="17.399999999999999" x14ac:dyDescent="0.35">
      <c r="C12" s="28" t="s">
        <v>63</v>
      </c>
      <c r="D12" s="2">
        <f>'Package Price Back Calcs'!D36-'Package Price Back Calcs'!D21</f>
        <v>16262.5</v>
      </c>
      <c r="E12" s="2"/>
      <c r="F12" s="2">
        <f>D12*(1+(Inputs!$C$42*('Attributes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16262.5</v>
      </c>
      <c r="G12" s="2"/>
      <c r="H12" s="2"/>
    </row>
    <row r="13" spans="1:56" ht="18" thickBot="1" x14ac:dyDescent="0.4">
      <c r="C13" s="28" t="s">
        <v>64</v>
      </c>
      <c r="D13" s="2">
        <f>'Package Price Back Calcs'!D44-'Package Price Back Calcs'!D21</f>
        <v>32475</v>
      </c>
      <c r="E13" s="2"/>
      <c r="F13" s="2">
        <f>D13*(1+(Inputs!$C$42*('Attributes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32475</v>
      </c>
      <c r="G13" s="2"/>
      <c r="H13" s="2"/>
    </row>
    <row r="14" spans="1:56" ht="18" thickBot="1" x14ac:dyDescent="0.4">
      <c r="B14" s="27" t="s">
        <v>68</v>
      </c>
      <c r="C14" s="28" t="s">
        <v>59</v>
      </c>
      <c r="D14" s="27"/>
      <c r="E14" s="27"/>
      <c r="F14" s="27" t="str">
        <f>IF('Package Price Back Calcs'!C6=1, 'Package Price Calculations'!B14, "N/A")</f>
        <v>Bedroom 2</v>
      </c>
      <c r="G14" s="27"/>
      <c r="H14" s="27"/>
    </row>
    <row r="15" spans="1:56" ht="17.399999999999999" x14ac:dyDescent="0.35">
      <c r="B15" s="2"/>
      <c r="C15" s="28" t="s">
        <v>61</v>
      </c>
      <c r="D15" s="2"/>
      <c r="E15" s="2"/>
      <c r="F15" s="2"/>
      <c r="G15" s="2"/>
      <c r="H15" s="2"/>
    </row>
    <row r="16" spans="1:56" ht="17.399999999999999" x14ac:dyDescent="0.35">
      <c r="B16" s="2"/>
      <c r="C16" s="28" t="s">
        <v>62</v>
      </c>
      <c r="D16" s="2">
        <f>'Package Price Back Calcs'!E28-'Package Price Back Calcs'!E21</f>
        <v>1726</v>
      </c>
      <c r="E16" s="2"/>
      <c r="F16" s="2">
        <f>IF('Package Price Back Calcs'!C6=1, 1, 0)*'Package Price Back Calcs'!C$6*D16*(1+(Inputs!$C$42*('Attributes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1726</v>
      </c>
      <c r="G16" s="2"/>
      <c r="H16" s="2"/>
    </row>
    <row r="17" spans="1:8" ht="17.399999999999999" x14ac:dyDescent="0.35">
      <c r="B17" s="2"/>
      <c r="C17" s="28" t="s">
        <v>63</v>
      </c>
      <c r="D17" s="2">
        <f>'Package Price Back Calcs'!E36-'Package Price Back Calcs'!E21</f>
        <v>14102.5</v>
      </c>
      <c r="E17" s="2"/>
      <c r="F17" s="2">
        <f>IF('Package Price Back Calcs'!C6=1, 1, 0)*'Package Price Back Calcs'!C$6*D17*(1+(Inputs!$C$42*('Attributes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14102.5</v>
      </c>
      <c r="G17" s="2"/>
      <c r="H17" s="2"/>
    </row>
    <row r="18" spans="1:8" ht="18" thickBot="1" x14ac:dyDescent="0.4">
      <c r="B18" s="2"/>
      <c r="C18" s="28" t="s">
        <v>64</v>
      </c>
      <c r="D18" s="2">
        <f>'Package Price Back Calcs'!E44-'Package Price Back Calcs'!E21</f>
        <v>29095</v>
      </c>
      <c r="E18" s="2"/>
      <c r="F18" s="2">
        <f>IF('Package Price Back Calcs'!C6=1, 1, 0)*'Package Price Back Calcs'!C$6*D18*(1+(Inputs!$C$42*('Attributes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29095</v>
      </c>
      <c r="G18" s="2"/>
      <c r="H18" s="2"/>
    </row>
    <row r="19" spans="1:8" ht="18" thickBot="1" x14ac:dyDescent="0.4">
      <c r="B19" s="27" t="s">
        <v>69</v>
      </c>
      <c r="C19" s="28" t="s">
        <v>59</v>
      </c>
      <c r="D19" s="27"/>
      <c r="E19" s="27"/>
      <c r="F19" s="27" t="str">
        <f>IF('Package Price Back Calcs'!C7=1, 'Package Price Calculations'!B19, "N/A")</f>
        <v>Bedroom 3</v>
      </c>
      <c r="G19" s="27"/>
      <c r="H19" s="27"/>
    </row>
    <row r="20" spans="1:8" ht="17.399999999999999" x14ac:dyDescent="0.35">
      <c r="B20" s="2"/>
      <c r="C20" s="28" t="s">
        <v>61</v>
      </c>
      <c r="D20" s="2"/>
      <c r="E20" s="2"/>
      <c r="F20" s="2"/>
      <c r="G20" s="2"/>
      <c r="H20" s="2"/>
    </row>
    <row r="21" spans="1:8" ht="17.399999999999999" x14ac:dyDescent="0.35">
      <c r="B21" s="2"/>
      <c r="C21" s="28" t="s">
        <v>62</v>
      </c>
      <c r="D21" s="2">
        <f>D$16</f>
        <v>1726</v>
      </c>
      <c r="E21" s="2"/>
      <c r="F21" s="2">
        <f>'Package Price Back Calcs'!C$7*D21*(1+(Inputs!$C$42*('Attributes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1726</v>
      </c>
      <c r="G21" s="2"/>
      <c r="H21" s="2"/>
    </row>
    <row r="22" spans="1:8" ht="17.399999999999999" x14ac:dyDescent="0.35">
      <c r="B22" s="2"/>
      <c r="C22" s="28" t="s">
        <v>63</v>
      </c>
      <c r="D22" s="2">
        <f>D$17</f>
        <v>14102.5</v>
      </c>
      <c r="E22" s="2"/>
      <c r="F22" s="2">
        <f>'Package Price Back Calcs'!C$7*D22*(1+(Inputs!$C$42*('Attributes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14102.5</v>
      </c>
      <c r="G22" s="2"/>
      <c r="H22" s="2"/>
    </row>
    <row r="23" spans="1:8" ht="18" thickBot="1" x14ac:dyDescent="0.4">
      <c r="B23" s="2"/>
      <c r="C23" s="28" t="s">
        <v>64</v>
      </c>
      <c r="D23" s="2">
        <f>D$18</f>
        <v>29095</v>
      </c>
      <c r="E23" s="2"/>
      <c r="F23" s="2">
        <f>'Package Price Back Calcs'!C$7*D23*(1+(Inputs!$C$42*('Attributes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29095</v>
      </c>
      <c r="G23" s="2"/>
      <c r="H23" s="2"/>
    </row>
    <row r="24" spans="1:8" ht="18" thickBot="1" x14ac:dyDescent="0.4">
      <c r="B24" s="27" t="s">
        <v>70</v>
      </c>
      <c r="C24" s="28" t="s">
        <v>59</v>
      </c>
      <c r="D24" s="27"/>
      <c r="E24" s="27"/>
      <c r="F24" s="27" t="str">
        <f>IF('Package Price Back Calcs'!C8=1, 'Package Price Calculations'!$B24, "N/A")</f>
        <v>N/A</v>
      </c>
      <c r="G24" s="27"/>
      <c r="H24" s="27"/>
    </row>
    <row r="25" spans="1:8" ht="17.399999999999999" x14ac:dyDescent="0.35">
      <c r="B25" s="2"/>
      <c r="C25" s="28" t="s">
        <v>61</v>
      </c>
      <c r="D25" s="2"/>
      <c r="E25" s="2"/>
      <c r="F25" s="2"/>
      <c r="G25" s="2"/>
      <c r="H25" s="2"/>
    </row>
    <row r="26" spans="1:8" ht="17.399999999999999" x14ac:dyDescent="0.35">
      <c r="B26" s="2"/>
      <c r="C26" s="28" t="s">
        <v>62</v>
      </c>
      <c r="D26" s="2">
        <f>D$16</f>
        <v>1726</v>
      </c>
      <c r="E26" s="2"/>
      <c r="F26" s="2">
        <f>'Package Price Back Calcs'!C$8*D26*(1+(Inputs!$C$42*('Attributes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26" s="2"/>
      <c r="H26" s="2"/>
    </row>
    <row r="27" spans="1:8" ht="17.399999999999999" x14ac:dyDescent="0.35">
      <c r="B27" s="2"/>
      <c r="C27" s="28" t="s">
        <v>63</v>
      </c>
      <c r="D27" s="2">
        <f>D$17</f>
        <v>14102.5</v>
      </c>
      <c r="E27" s="2"/>
      <c r="F27" s="2">
        <f>'Package Price Back Calcs'!C$8*D27*(1+(Inputs!$C$42*('Attributes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27" s="2"/>
      <c r="H27" s="2"/>
    </row>
    <row r="28" spans="1:8" ht="18" thickBot="1" x14ac:dyDescent="0.4">
      <c r="A28">
        <f>15*12</f>
        <v>180</v>
      </c>
      <c r="B28" s="2"/>
      <c r="C28" s="28" t="s">
        <v>64</v>
      </c>
      <c r="D28" s="2">
        <f>D$18</f>
        <v>29095</v>
      </c>
      <c r="E28" s="2"/>
      <c r="F28" s="2">
        <f>'Package Price Back Calcs'!C$8*D28*(1+(Inputs!$C$42*('Attributes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28" s="2"/>
      <c r="H28" s="2"/>
    </row>
    <row r="29" spans="1:8" ht="18" thickBot="1" x14ac:dyDescent="0.4">
      <c r="B29" s="27" t="s">
        <v>71</v>
      </c>
      <c r="C29" s="28" t="s">
        <v>59</v>
      </c>
      <c r="D29" s="27"/>
      <c r="E29" s="27"/>
      <c r="F29" s="27" t="str">
        <f>IF('Package Price Back Calcs'!C9=1, 'Package Price Calculations'!B29, "N/A")</f>
        <v>N/A</v>
      </c>
      <c r="G29" s="27"/>
      <c r="H29" s="27"/>
    </row>
    <row r="30" spans="1:8" ht="17.399999999999999" x14ac:dyDescent="0.35">
      <c r="B30" s="2"/>
      <c r="C30" s="28" t="s">
        <v>61</v>
      </c>
      <c r="D30" s="2"/>
      <c r="E30" s="2"/>
      <c r="F30" s="2"/>
      <c r="G30" s="2"/>
      <c r="H30" s="2"/>
    </row>
    <row r="31" spans="1:8" ht="17.399999999999999" x14ac:dyDescent="0.35">
      <c r="B31" s="2"/>
      <c r="C31" s="28" t="s">
        <v>62</v>
      </c>
      <c r="D31" s="2">
        <f>D$16</f>
        <v>1726</v>
      </c>
      <c r="E31" s="2"/>
      <c r="F31" s="2">
        <f>'Package Price Back Calcs'!C$9*D31*(1+(Inputs!$C$42*('Attributes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1" s="2"/>
      <c r="H31" s="2"/>
    </row>
    <row r="32" spans="1:8" ht="17.399999999999999" x14ac:dyDescent="0.35">
      <c r="B32" s="2"/>
      <c r="C32" s="28" t="s">
        <v>63</v>
      </c>
      <c r="D32" s="2">
        <f>D$17</f>
        <v>14102.5</v>
      </c>
      <c r="E32" s="2"/>
      <c r="F32" s="2">
        <f>'Package Price Back Calcs'!C$9*D32*(1+(Inputs!$C$42*('Attributes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2" s="2"/>
      <c r="H32" s="2"/>
    </row>
    <row r="33" spans="2:8" ht="18" thickBot="1" x14ac:dyDescent="0.4">
      <c r="B33" s="2"/>
      <c r="C33" s="28" t="s">
        <v>64</v>
      </c>
      <c r="D33" s="2">
        <f>D$18</f>
        <v>29095</v>
      </c>
      <c r="E33" s="2"/>
      <c r="F33" s="2">
        <f>'Package Price Back Calcs'!C$9*D33*(1+(Inputs!$C$42*('Attributes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3" s="2"/>
      <c r="H33" s="2"/>
    </row>
    <row r="34" spans="2:8" ht="18" thickBot="1" x14ac:dyDescent="0.4">
      <c r="B34" s="27" t="s">
        <v>72</v>
      </c>
      <c r="C34" s="28" t="s">
        <v>59</v>
      </c>
      <c r="D34" s="27"/>
      <c r="E34" s="27"/>
      <c r="F34" s="27" t="str">
        <f>IF('Package Price Back Calcs'!C10=1, 'Package Price Calculations'!B34, "N/A")</f>
        <v>N/A</v>
      </c>
      <c r="G34" s="27"/>
      <c r="H34" s="27"/>
    </row>
    <row r="35" spans="2:8" ht="17.399999999999999" x14ac:dyDescent="0.35">
      <c r="B35" s="2"/>
      <c r="C35" s="28" t="s">
        <v>61</v>
      </c>
      <c r="D35" s="2"/>
      <c r="E35" s="2"/>
      <c r="F35" s="2"/>
      <c r="G35" s="2"/>
      <c r="H35" s="2"/>
    </row>
    <row r="36" spans="2:8" ht="17.399999999999999" x14ac:dyDescent="0.35">
      <c r="B36" s="2"/>
      <c r="C36" s="28" t="s">
        <v>62</v>
      </c>
      <c r="D36" s="2">
        <f>D$16</f>
        <v>1726</v>
      </c>
      <c r="E36" s="2"/>
      <c r="F36" s="2">
        <f>'Package Price Back Calcs'!C$10*D36*(1+(Inputs!$C$42*('Attributes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6" s="2"/>
      <c r="H36" s="2"/>
    </row>
    <row r="37" spans="2:8" ht="17.399999999999999" x14ac:dyDescent="0.35">
      <c r="B37" s="2"/>
      <c r="C37" s="28" t="s">
        <v>63</v>
      </c>
      <c r="D37" s="2">
        <f>D$17</f>
        <v>14102.5</v>
      </c>
      <c r="E37" s="2"/>
      <c r="F37" s="2">
        <f>'Package Price Back Calcs'!C$10*D37*(1+(Inputs!$C$42*('Attributes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7" s="2"/>
      <c r="H37" s="2"/>
    </row>
    <row r="38" spans="2:8" ht="18" thickBot="1" x14ac:dyDescent="0.4">
      <c r="B38" s="2"/>
      <c r="C38" s="28" t="s">
        <v>64</v>
      </c>
      <c r="D38" s="2">
        <f>D$18</f>
        <v>29095</v>
      </c>
      <c r="E38" s="2"/>
      <c r="F38" s="2">
        <f>'Package Price Back Calcs'!C$10*D38*(1+(Inputs!$C$42*('Attributes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38" s="2"/>
      <c r="H38" s="2"/>
    </row>
    <row r="39" spans="2:8" ht="18" thickBot="1" x14ac:dyDescent="0.4">
      <c r="B39" s="27" t="s">
        <v>73</v>
      </c>
      <c r="C39" s="28" t="s">
        <v>59</v>
      </c>
      <c r="D39" s="27"/>
      <c r="E39" s="27"/>
      <c r="F39" s="27" t="str">
        <f>IF('Package Price Back Calcs'!C11=1, 'Package Price Calculations'!B39, "N/A")</f>
        <v>N/A</v>
      </c>
      <c r="G39" s="27"/>
      <c r="H39" s="27"/>
    </row>
    <row r="40" spans="2:8" ht="17.399999999999999" x14ac:dyDescent="0.35">
      <c r="B40" s="2"/>
      <c r="C40" s="28" t="s">
        <v>61</v>
      </c>
      <c r="D40" s="2"/>
      <c r="E40" s="2"/>
      <c r="F40" s="2"/>
      <c r="G40" s="2"/>
      <c r="H40" s="2"/>
    </row>
    <row r="41" spans="2:8" ht="17.399999999999999" x14ac:dyDescent="0.35">
      <c r="B41" s="2"/>
      <c r="C41" s="28" t="s">
        <v>62</v>
      </c>
      <c r="D41" s="2">
        <f>D$16</f>
        <v>1726</v>
      </c>
      <c r="E41" s="2"/>
      <c r="F41" s="2">
        <f>'Package Price Back Calcs'!C$11*D41*(1+(Inputs!$C$42*('Attributes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1" s="2"/>
      <c r="H41" s="2"/>
    </row>
    <row r="42" spans="2:8" ht="17.399999999999999" x14ac:dyDescent="0.35">
      <c r="B42" s="2"/>
      <c r="C42" s="28" t="s">
        <v>63</v>
      </c>
      <c r="D42" s="2">
        <f>D$17</f>
        <v>14102.5</v>
      </c>
      <c r="E42" s="2"/>
      <c r="F42" s="2">
        <f>'Package Price Back Calcs'!C$11*D42*(1+(Inputs!$C$42*('Attributes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2" s="2"/>
      <c r="H42" s="2"/>
    </row>
    <row r="43" spans="2:8" ht="18" thickBot="1" x14ac:dyDescent="0.4">
      <c r="B43" s="2"/>
      <c r="C43" s="28" t="s">
        <v>64</v>
      </c>
      <c r="D43" s="2">
        <f>D$18</f>
        <v>29095</v>
      </c>
      <c r="E43" s="2"/>
      <c r="F43" s="2">
        <f>'Package Price Back Calcs'!C$11*D43*(1+(Inputs!$C$42*('Attributes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3" s="2"/>
      <c r="H43" s="2"/>
    </row>
    <row r="44" spans="2:8" ht="18" thickBot="1" x14ac:dyDescent="0.4">
      <c r="B44" s="27" t="s">
        <v>74</v>
      </c>
      <c r="C44" s="28" t="s">
        <v>59</v>
      </c>
      <c r="D44" s="27"/>
      <c r="E44" s="27"/>
      <c r="F44" s="27" t="str">
        <f>IF('Package Price Back Calcs'!C12=1, 'Package Price Calculations'!B44, "N/A")</f>
        <v>N/A</v>
      </c>
      <c r="G44" s="27"/>
      <c r="H44" s="27"/>
    </row>
    <row r="45" spans="2:8" ht="17.399999999999999" x14ac:dyDescent="0.35">
      <c r="C45" s="28" t="s">
        <v>61</v>
      </c>
      <c r="D45" s="2"/>
      <c r="E45" s="2"/>
      <c r="F45" s="2"/>
      <c r="G45" s="2"/>
      <c r="H45" s="2"/>
    </row>
    <row r="46" spans="2:8" ht="17.399999999999999" x14ac:dyDescent="0.35">
      <c r="C46" s="28" t="s">
        <v>62</v>
      </c>
      <c r="D46" s="2">
        <f>D$16</f>
        <v>1726</v>
      </c>
      <c r="E46" s="2"/>
      <c r="F46" s="2">
        <f>'Package Price Back Calcs'!C$12*D46*(1+(Inputs!$C$42*('Attributes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6" s="2"/>
      <c r="H46" s="2"/>
    </row>
    <row r="47" spans="2:8" ht="17.399999999999999" x14ac:dyDescent="0.35">
      <c r="C47" s="28" t="s">
        <v>63</v>
      </c>
      <c r="D47" s="2">
        <f>D$17</f>
        <v>14102.5</v>
      </c>
      <c r="E47" s="2"/>
      <c r="F47" s="2">
        <f>'Package Price Back Calcs'!C$12*D47*(1+(Inputs!$C$42*('Attributes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7" s="2"/>
      <c r="H47" s="2"/>
    </row>
    <row r="48" spans="2:8" ht="18" thickBot="1" x14ac:dyDescent="0.4">
      <c r="C48" s="28" t="s">
        <v>64</v>
      </c>
      <c r="D48" s="2">
        <f>D$18</f>
        <v>29095</v>
      </c>
      <c r="E48" s="2"/>
      <c r="F48" s="2">
        <f>'Package Price Back Calcs'!C$12*D48*(1+(Inputs!$C$42*('Attributes Calculations'!$E$16-'Defaults and Ranges'!$D$7)/1000))*(1+(Inputs!$C$43*('Attributes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G48" s="2"/>
      <c r="H48" s="2"/>
    </row>
    <row r="49" spans="1:8" ht="18" thickBot="1" x14ac:dyDescent="0.4">
      <c r="A49" t="s">
        <v>75</v>
      </c>
      <c r="B49" s="27" t="s">
        <v>76</v>
      </c>
      <c r="C49" s="28" t="s">
        <v>59</v>
      </c>
      <c r="D49" s="27"/>
      <c r="E49" s="28"/>
      <c r="G49" s="27" t="s">
        <v>76</v>
      </c>
      <c r="H49" s="27"/>
    </row>
    <row r="50" spans="1:8" ht="17.399999999999999" x14ac:dyDescent="0.35">
      <c r="C50" s="28" t="s">
        <v>61</v>
      </c>
      <c r="D50" s="2"/>
      <c r="E50" s="2"/>
      <c r="G50" s="2"/>
      <c r="H50" s="2"/>
    </row>
    <row r="51" spans="1:8" ht="17.399999999999999" x14ac:dyDescent="0.35">
      <c r="C51" s="28" t="s">
        <v>62</v>
      </c>
      <c r="D51" s="2">
        <f>'Package Price Back Calcs'!E65-'Package Price Back Calcs'!E56</f>
        <v>8972.2250000000022</v>
      </c>
      <c r="E51" s="2"/>
      <c r="G51" s="2">
        <f>D51*(1+(Inputs!$C$43*('Attributes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8972.2250000000022</v>
      </c>
      <c r="H51" s="2"/>
    </row>
    <row r="52" spans="1:8" ht="17.399999999999999" x14ac:dyDescent="0.35">
      <c r="C52" s="28" t="s">
        <v>63</v>
      </c>
      <c r="D52" s="2">
        <f>'Package Price Back Calcs'!E74-'Package Price Back Calcs'!E56</f>
        <v>43186.974999999999</v>
      </c>
      <c r="E52" s="2"/>
      <c r="G52" s="2">
        <f>D52*(1+(Inputs!$C$43*('Attributes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43186.974999999999</v>
      </c>
      <c r="H52" s="2"/>
    </row>
    <row r="53" spans="1:8" ht="18" thickBot="1" x14ac:dyDescent="0.4">
      <c r="C53" s="28" t="s">
        <v>64</v>
      </c>
      <c r="D53" s="2">
        <f>'Package Price Back Calcs'!E83-'Package Price Back Calcs'!E56</f>
        <v>73948.962499999994</v>
      </c>
      <c r="E53" s="2"/>
      <c r="G53" s="2">
        <f>D53*(1+(Inputs!$C$43*('Attributes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73948.962499999994</v>
      </c>
      <c r="H53" s="2"/>
    </row>
    <row r="54" spans="1:8" ht="18" thickBot="1" x14ac:dyDescent="0.4">
      <c r="B54" s="27" t="s">
        <v>600</v>
      </c>
      <c r="C54" s="28" t="s">
        <v>59</v>
      </c>
      <c r="D54" s="2"/>
      <c r="E54" s="2"/>
      <c r="G54" s="27" t="str">
        <f>IF('Package Price Back Calcs'!$E$6=0.5, B54, "N/A")</f>
        <v>N/A</v>
      </c>
      <c r="H54" s="27"/>
    </row>
    <row r="55" spans="1:8" ht="17.399999999999999" x14ac:dyDescent="0.35">
      <c r="C55" s="28" t="s">
        <v>61</v>
      </c>
      <c r="D55" s="2"/>
      <c r="E55" s="2"/>
      <c r="H55" s="2"/>
    </row>
    <row r="56" spans="1:8" ht="17.399999999999999" x14ac:dyDescent="0.35">
      <c r="C56" s="28" t="s">
        <v>62</v>
      </c>
      <c r="D56" s="2">
        <f>IF('Package Price Back Calcs'!E6=0.5, 'Package Price Back Calcs'!G65-'Package Price Back Calcs'!G56, 'Package Price Back Calcs'!F65-'Package Price Back Calcs'!F56)</f>
        <v>2876.2142857142862</v>
      </c>
      <c r="E56" s="2"/>
      <c r="G56" s="2">
        <f>IF('Package Price Back Calcs'!$E$6=0.5, 'Package Price Back Calcs'!G65-'Package Price Back Calcs'!G$56, 0)</f>
        <v>0</v>
      </c>
      <c r="H56" s="2"/>
    </row>
    <row r="57" spans="1:8" ht="17.399999999999999" x14ac:dyDescent="0.35">
      <c r="C57" s="28" t="s">
        <v>63</v>
      </c>
      <c r="D57" s="2">
        <f>IF('Package Price Back Calcs'!E6=0.5, 'Package Price Back Calcs'!G74-'Package Price Back Calcs'!G56, 'Package Price Back Calcs'!F74-'Package Price Back Calcs'!F56)</f>
        <v>25489.707142857143</v>
      </c>
      <c r="E57" s="2"/>
      <c r="G57" s="2">
        <f>IF('Package Price Back Calcs'!$E$6=0.5, 'Package Price Back Calcs'!G74-'Package Price Back Calcs'!G$56, 0)</f>
        <v>0</v>
      </c>
      <c r="H57" s="2"/>
    </row>
    <row r="58" spans="1:8" ht="18" thickBot="1" x14ac:dyDescent="0.4">
      <c r="C58" s="28" t="s">
        <v>64</v>
      </c>
      <c r="D58" s="2">
        <f>IF('Package Price Back Calcs'!E6=0.5, 'Package Price Back Calcs'!G83-'Package Price Back Calcs'!G56, 'Package Price Back Calcs'!F83-'Package Price Back Calcs'!F56)</f>
        <v>49959.507142857146</v>
      </c>
      <c r="E58" s="2"/>
      <c r="G58" s="2">
        <f>IF('Package Price Back Calcs'!$E$6=0.5, 'Package Price Back Calcs'!G83-'Package Price Back Calcs'!G$56, 0)</f>
        <v>0</v>
      </c>
      <c r="H58" s="2"/>
    </row>
    <row r="59" spans="1:8" ht="18" thickBot="1" x14ac:dyDescent="0.4">
      <c r="B59" s="27" t="s">
        <v>77</v>
      </c>
      <c r="C59" s="28" t="s">
        <v>59</v>
      </c>
      <c r="D59" s="2"/>
      <c r="E59" s="2"/>
      <c r="G59" s="27" t="str">
        <f>IF('Package Price Back Calcs'!$E$6=0.5,"N/A", B59)</f>
        <v>Bath 2</v>
      </c>
      <c r="H59" s="27"/>
    </row>
    <row r="60" spans="1:8" ht="17.399999999999999" x14ac:dyDescent="0.35">
      <c r="C60" s="28" t="s">
        <v>61</v>
      </c>
      <c r="D60" s="2"/>
      <c r="E60" s="2"/>
      <c r="H60" s="2"/>
    </row>
    <row r="61" spans="1:8" ht="17.399999999999999" x14ac:dyDescent="0.35">
      <c r="C61" s="28" t="s">
        <v>62</v>
      </c>
      <c r="D61" s="2">
        <f>IF('Package Price Back Calcs'!E6=0.5, 0, 'Package Price Back Calcs'!F65-'Package Price Back Calcs'!F56)</f>
        <v>2876.2142857142862</v>
      </c>
      <c r="E61" s="2"/>
      <c r="G61" s="2">
        <f>'Package Price Back Calcs'!E$6*D61*(1+(Inputs!$C$43*('Attributes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2876.2142857142862</v>
      </c>
      <c r="H61" s="2"/>
    </row>
    <row r="62" spans="1:8" ht="17.399999999999999" x14ac:dyDescent="0.35">
      <c r="C62" s="28" t="s">
        <v>63</v>
      </c>
      <c r="D62" s="2">
        <f>IF('Package Price Back Calcs'!E6=0.5, 0, 'Package Price Back Calcs'!F74-'Package Price Back Calcs'!F56)</f>
        <v>25489.707142857143</v>
      </c>
      <c r="E62" s="2"/>
      <c r="G62" s="2">
        <f>'Package Price Back Calcs'!E$6*D62*(1+(Inputs!$C$43*('Attributes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25489.707142857143</v>
      </c>
      <c r="H62" s="2"/>
    </row>
    <row r="63" spans="1:8" ht="18" thickBot="1" x14ac:dyDescent="0.4">
      <c r="C63" s="28" t="s">
        <v>64</v>
      </c>
      <c r="D63" s="2">
        <f>IF('Package Price Back Calcs'!E6=0.5, 0, 'Package Price Back Calcs'!F83-'Package Price Back Calcs'!F56)</f>
        <v>49959.507142857146</v>
      </c>
      <c r="E63" s="2"/>
      <c r="G63" s="2">
        <f>'Package Price Back Calcs'!E$6*D63*(1+(Inputs!$C$43*('Attributes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49959.507142857146</v>
      </c>
      <c r="H63" s="2"/>
    </row>
    <row r="64" spans="1:8" ht="18" thickBot="1" x14ac:dyDescent="0.4">
      <c r="B64" s="27" t="s">
        <v>78</v>
      </c>
      <c r="C64" s="28" t="s">
        <v>59</v>
      </c>
      <c r="D64" s="27"/>
      <c r="E64" s="28"/>
      <c r="G64" s="27" t="str">
        <f>IF('Package Price Back Calcs'!E7=1, 'Package Price Calculations'!$B64, "N/A")</f>
        <v>Bath 3</v>
      </c>
      <c r="H64" s="27"/>
    </row>
    <row r="65" spans="2:8" ht="17.399999999999999" x14ac:dyDescent="0.35">
      <c r="C65" s="28" t="s">
        <v>61</v>
      </c>
      <c r="D65" s="2"/>
      <c r="E65" s="2"/>
      <c r="G65" s="2"/>
      <c r="H65" s="2"/>
    </row>
    <row r="66" spans="2:8" ht="17.399999999999999" x14ac:dyDescent="0.35">
      <c r="C66" s="28" t="s">
        <v>62</v>
      </c>
      <c r="D66" s="2">
        <f>IF('Package Price Back Calcs'!E7=0, 0,'Package Price Back Calcs'!F65-'Package Price Back Calcs'!F56)</f>
        <v>2876.2142857142862</v>
      </c>
      <c r="E66" s="2"/>
      <c r="G66" s="2">
        <f>'Package Price Back Calcs'!E$7*D66*(1+(Inputs!$C$43*('Attributes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2876.2142857142862</v>
      </c>
      <c r="H66" s="2"/>
    </row>
    <row r="67" spans="2:8" ht="17.399999999999999" x14ac:dyDescent="0.35">
      <c r="C67" s="28" t="s">
        <v>63</v>
      </c>
      <c r="D67" s="2">
        <f>IF('Package Price Back Calcs'!E7=0,0,'Package Price Back Calcs'!F74-'Package Price Back Calcs'!F56)</f>
        <v>25489.707142857143</v>
      </c>
      <c r="E67" s="2"/>
      <c r="G67" s="2">
        <f>'Package Price Back Calcs'!E$7*D67*(1+(Inputs!$C$43*('Attributes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25489.707142857143</v>
      </c>
      <c r="H67" s="2"/>
    </row>
    <row r="68" spans="2:8" ht="18" thickBot="1" x14ac:dyDescent="0.4">
      <c r="C68" s="28" t="s">
        <v>64</v>
      </c>
      <c r="D68" s="2">
        <f>IF('Package Price Back Calcs'!E7=0,0,'Package Price Back Calcs'!F83-'Package Price Back Calcs'!F56)</f>
        <v>49959.507142857146</v>
      </c>
      <c r="E68" s="2"/>
      <c r="G68" s="2">
        <f>'Package Price Back Calcs'!E$7*D68*(1+(Inputs!$C$43*('Attributes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49959.507142857146</v>
      </c>
      <c r="H68" s="2"/>
    </row>
    <row r="69" spans="2:8" ht="18" thickBot="1" x14ac:dyDescent="0.4">
      <c r="B69" s="27" t="s">
        <v>79</v>
      </c>
      <c r="C69" s="28" t="s">
        <v>59</v>
      </c>
      <c r="D69" s="27"/>
      <c r="E69" s="28"/>
      <c r="G69" s="27" t="str">
        <f>IF('Package Price Back Calcs'!E8=1, 'Package Price Calculations'!$B69, "N/A")</f>
        <v>N/A</v>
      </c>
      <c r="H69" s="27"/>
    </row>
    <row r="70" spans="2:8" ht="17.399999999999999" x14ac:dyDescent="0.35">
      <c r="C70" s="28" t="s">
        <v>61</v>
      </c>
      <c r="D70" s="2"/>
      <c r="E70" s="2"/>
      <c r="H70" s="2"/>
    </row>
    <row r="71" spans="2:8" ht="17.399999999999999" x14ac:dyDescent="0.35">
      <c r="C71" s="28" t="s">
        <v>62</v>
      </c>
      <c r="D71" s="2">
        <f>D$66</f>
        <v>2876.2142857142862</v>
      </c>
      <c r="E71" s="2"/>
      <c r="G71" s="2">
        <f>'Package Price Back Calcs'!E$8*D71*(1+(Inputs!$C$43*('Attributes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1" s="2"/>
    </row>
    <row r="72" spans="2:8" ht="17.399999999999999" x14ac:dyDescent="0.35">
      <c r="C72" s="28" t="s">
        <v>63</v>
      </c>
      <c r="D72" s="2">
        <f>D$67</f>
        <v>25489.707142857143</v>
      </c>
      <c r="E72" s="2"/>
      <c r="G72" s="2">
        <f>'Package Price Back Calcs'!E$8*D72*(1+(Inputs!$C$43*('Attributes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2" s="2"/>
    </row>
    <row r="73" spans="2:8" ht="18" thickBot="1" x14ac:dyDescent="0.4">
      <c r="C73" s="28" t="s">
        <v>64</v>
      </c>
      <c r="D73" s="2">
        <f>D$68</f>
        <v>49959.507142857146</v>
      </c>
      <c r="E73" s="2"/>
      <c r="G73" s="2">
        <f>'Package Price Back Calcs'!E$8*D73*(1+(Inputs!$C$43*('Attributes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3" s="2"/>
    </row>
    <row r="74" spans="2:8" ht="18" thickBot="1" x14ac:dyDescent="0.4">
      <c r="B74" s="27" t="s">
        <v>80</v>
      </c>
      <c r="C74" s="28" t="s">
        <v>59</v>
      </c>
      <c r="D74" s="27"/>
      <c r="E74" s="28"/>
      <c r="G74" s="27" t="str">
        <f>IF('Package Price Back Calcs'!E9=1, 'Package Price Calculations'!$B74, "N/A")</f>
        <v>N/A</v>
      </c>
      <c r="H74" s="27"/>
    </row>
    <row r="75" spans="2:8" ht="17.399999999999999" x14ac:dyDescent="0.35">
      <c r="C75" s="28" t="s">
        <v>61</v>
      </c>
      <c r="D75" s="2"/>
      <c r="E75" s="2"/>
      <c r="H75" s="2"/>
    </row>
    <row r="76" spans="2:8" ht="17.399999999999999" x14ac:dyDescent="0.35">
      <c r="C76" s="28" t="s">
        <v>62</v>
      </c>
      <c r="D76" s="2">
        <f>D$66</f>
        <v>2876.2142857142862</v>
      </c>
      <c r="E76" s="2"/>
      <c r="G76" s="2">
        <f>'Package Price Back Calcs'!E$9*D76*(1+(Inputs!$C$43*('Attributes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6" s="2"/>
    </row>
    <row r="77" spans="2:8" ht="17.399999999999999" x14ac:dyDescent="0.35">
      <c r="C77" s="28" t="s">
        <v>63</v>
      </c>
      <c r="D77" s="2">
        <f>D$67</f>
        <v>25489.707142857143</v>
      </c>
      <c r="E77" s="2"/>
      <c r="G77" s="2">
        <f>'Package Price Back Calcs'!E$9*D77*(1+(Inputs!$C$43*('Attributes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7" s="2"/>
    </row>
    <row r="78" spans="2:8" ht="18" thickBot="1" x14ac:dyDescent="0.4">
      <c r="C78" s="28" t="s">
        <v>64</v>
      </c>
      <c r="D78" s="2">
        <f>D$68</f>
        <v>49959.507142857146</v>
      </c>
      <c r="E78" s="2"/>
      <c r="G78" s="2">
        <f>'Package Price Back Calcs'!E$9*D78*(1+(Inputs!$C$43*('Attributes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78" s="2"/>
    </row>
    <row r="79" spans="2:8" ht="18" thickBot="1" x14ac:dyDescent="0.4">
      <c r="B79" s="27" t="s">
        <v>81</v>
      </c>
      <c r="C79" s="28" t="s">
        <v>59</v>
      </c>
      <c r="D79" s="27"/>
      <c r="E79" s="28"/>
      <c r="G79" s="27" t="str">
        <f>IF('Package Price Back Calcs'!E10=1, 'Package Price Calculations'!$B79, "N/A")</f>
        <v>N/A</v>
      </c>
      <c r="H79" s="27"/>
    </row>
    <row r="80" spans="2:8" ht="17.399999999999999" x14ac:dyDescent="0.35">
      <c r="C80" s="28" t="s">
        <v>61</v>
      </c>
      <c r="D80" s="2"/>
      <c r="E80" s="2"/>
      <c r="H80" s="2"/>
    </row>
    <row r="81" spans="1:8" ht="17.399999999999999" x14ac:dyDescent="0.35">
      <c r="A81" s="42"/>
      <c r="C81" s="28" t="s">
        <v>62</v>
      </c>
      <c r="D81" s="2">
        <f>D$66</f>
        <v>2876.2142857142862</v>
      </c>
      <c r="E81" s="2"/>
      <c r="G81" s="2">
        <f>'Package Price Back Calcs'!E$10*D81*(1+(Inputs!$C$43*('Attributes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1" s="2"/>
    </row>
    <row r="82" spans="1:8" ht="17.399999999999999" x14ac:dyDescent="0.35">
      <c r="A82" s="42"/>
      <c r="C82" s="28" t="s">
        <v>63</v>
      </c>
      <c r="D82" s="2">
        <f>D$67</f>
        <v>25489.707142857143</v>
      </c>
      <c r="E82" s="2"/>
      <c r="G82" s="2">
        <f>'Package Price Back Calcs'!E$10*D82*(1+(Inputs!$C$43*('Attributes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2" s="2"/>
    </row>
    <row r="83" spans="1:8" ht="18" thickBot="1" x14ac:dyDescent="0.4">
      <c r="A83" s="42"/>
      <c r="C83" s="28" t="s">
        <v>64</v>
      </c>
      <c r="D83" s="2">
        <f>D$68</f>
        <v>49959.507142857146</v>
      </c>
      <c r="E83" s="2"/>
      <c r="G83" s="2">
        <f>'Package Price Back Calcs'!E$10*D83*(1+(Inputs!$C$43*('Attributes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3" s="2"/>
    </row>
    <row r="84" spans="1:8" ht="18" thickBot="1" x14ac:dyDescent="0.4">
      <c r="A84" s="42"/>
      <c r="B84" s="27" t="s">
        <v>82</v>
      </c>
      <c r="C84" s="28" t="s">
        <v>59</v>
      </c>
      <c r="D84" s="27"/>
      <c r="E84" s="28"/>
      <c r="G84" s="27" t="str">
        <f>IF('Package Price Back Calcs'!E11=1, 'Package Price Calculations'!$B84, "N/A")</f>
        <v>N/A</v>
      </c>
      <c r="H84" s="27"/>
    </row>
    <row r="85" spans="1:8" ht="17.399999999999999" x14ac:dyDescent="0.35">
      <c r="A85" s="42"/>
      <c r="C85" s="28" t="s">
        <v>61</v>
      </c>
      <c r="D85" s="2"/>
      <c r="E85" s="2"/>
      <c r="H85" s="2"/>
    </row>
    <row r="86" spans="1:8" ht="17.399999999999999" x14ac:dyDescent="0.35">
      <c r="A86" s="42"/>
      <c r="C86" s="28" t="s">
        <v>62</v>
      </c>
      <c r="D86" s="2">
        <f>D$66</f>
        <v>2876.2142857142862</v>
      </c>
      <c r="E86" s="2"/>
      <c r="G86" s="2">
        <f>'Package Price Back Calcs'!E$11*D86*(1+(Inputs!$C$43*('Attributes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6" s="2"/>
    </row>
    <row r="87" spans="1:8" ht="17.399999999999999" x14ac:dyDescent="0.35">
      <c r="A87" s="42"/>
      <c r="C87" s="28" t="s">
        <v>63</v>
      </c>
      <c r="D87" s="2">
        <f>D$67</f>
        <v>25489.707142857143</v>
      </c>
      <c r="E87" s="2"/>
      <c r="G87" s="2">
        <f>'Package Price Back Calcs'!E$11*D87*(1+(Inputs!$C$43*('Attributes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7" s="2"/>
    </row>
    <row r="88" spans="1:8" ht="18" thickBot="1" x14ac:dyDescent="0.4">
      <c r="A88" s="42"/>
      <c r="C88" s="28" t="s">
        <v>64</v>
      </c>
      <c r="D88" s="2">
        <f>D$68</f>
        <v>49959.507142857146</v>
      </c>
      <c r="E88" s="2"/>
      <c r="G88" s="2">
        <f>'Package Price Back Calcs'!E$11*D88*(1+(Inputs!$C$43*('Attributes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88" s="2"/>
    </row>
    <row r="89" spans="1:8" ht="18" thickBot="1" x14ac:dyDescent="0.4">
      <c r="A89" s="42"/>
      <c r="B89" s="27" t="s">
        <v>83</v>
      </c>
      <c r="C89" s="28" t="s">
        <v>59</v>
      </c>
      <c r="D89" s="27"/>
      <c r="E89" s="28"/>
      <c r="G89" s="27" t="str">
        <f>IF('Package Price Back Calcs'!E12=1, 'Package Price Calculations'!$B89, "N/A")</f>
        <v>N/A</v>
      </c>
      <c r="H89" s="27"/>
    </row>
    <row r="90" spans="1:8" ht="17.399999999999999" x14ac:dyDescent="0.35">
      <c r="A90" s="42"/>
      <c r="C90" s="28" t="s">
        <v>61</v>
      </c>
      <c r="D90" s="2"/>
      <c r="E90" s="2"/>
      <c r="G90" s="2"/>
      <c r="H90" s="2"/>
    </row>
    <row r="91" spans="1:8" ht="17.399999999999999" x14ac:dyDescent="0.35">
      <c r="A91" s="42"/>
      <c r="C91" s="28" t="s">
        <v>62</v>
      </c>
      <c r="D91" s="2">
        <f>D$66</f>
        <v>2876.2142857142862</v>
      </c>
      <c r="E91" s="2"/>
      <c r="G91" s="2">
        <f>'Package Price Back Calcs'!E$12*D91*(1+(Inputs!$C$43*('Attributes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91" s="2"/>
    </row>
    <row r="92" spans="1:8" ht="17.399999999999999" x14ac:dyDescent="0.35">
      <c r="A92" s="42"/>
      <c r="C92" s="28" t="s">
        <v>63</v>
      </c>
      <c r="D92" s="2">
        <f>D$67</f>
        <v>25489.707142857143</v>
      </c>
      <c r="E92" s="2"/>
      <c r="G92" s="2">
        <f>'Package Price Back Calcs'!E$12*D92*(1+(Inputs!$C$43*('Attributes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92" s="2"/>
    </row>
    <row r="93" spans="1:8" ht="18" thickBot="1" x14ac:dyDescent="0.4">
      <c r="A93" s="42"/>
      <c r="C93" s="28" t="s">
        <v>64</v>
      </c>
      <c r="D93" s="2">
        <f>D$68</f>
        <v>49959.507142857146</v>
      </c>
      <c r="E93" s="2"/>
      <c r="G93" s="2">
        <f>'Package Price Back Calcs'!E$12*D93*(1+(Inputs!$C$43*('Attributes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0</v>
      </c>
      <c r="H93" s="2"/>
    </row>
    <row r="94" spans="1:8" ht="18" thickBot="1" x14ac:dyDescent="0.4">
      <c r="A94" t="s">
        <v>51</v>
      </c>
      <c r="B94" s="27" t="s">
        <v>84</v>
      </c>
      <c r="C94" s="28" t="s">
        <v>59</v>
      </c>
      <c r="D94" s="27" t="s">
        <v>84</v>
      </c>
      <c r="E94" s="27"/>
      <c r="G94" s="27"/>
      <c r="H94" s="27"/>
    </row>
    <row r="95" spans="1:8" ht="17.399999999999999" x14ac:dyDescent="0.35">
      <c r="C95" s="28" t="s">
        <v>61</v>
      </c>
      <c r="D95" s="2"/>
      <c r="E95" s="2"/>
      <c r="F95" s="2"/>
      <c r="G95" s="2"/>
      <c r="H95" s="2"/>
    </row>
    <row r="96" spans="1:8" ht="17.399999999999999" x14ac:dyDescent="0.35">
      <c r="C96" s="28" t="s">
        <v>62</v>
      </c>
      <c r="D96" s="2">
        <f>'Package Price Back Calcs'!G136-'Package Price Back Calcs'!G129</f>
        <v>2389.75</v>
      </c>
      <c r="E96" s="2"/>
      <c r="F96" s="2"/>
      <c r="G96" s="2"/>
      <c r="H96" s="2"/>
    </row>
    <row r="97" spans="1:9" ht="17.399999999999999" x14ac:dyDescent="0.35">
      <c r="C97" s="28" t="s">
        <v>63</v>
      </c>
      <c r="D97" s="2">
        <f>'Package Price Back Calcs'!G143-'Package Price Back Calcs'!G129</f>
        <v>13642.75</v>
      </c>
      <c r="E97" s="2"/>
      <c r="F97" s="2"/>
      <c r="G97" s="2"/>
      <c r="H97" s="2"/>
    </row>
    <row r="98" spans="1:9" ht="18" thickBot="1" x14ac:dyDescent="0.4">
      <c r="C98" s="28" t="s">
        <v>64</v>
      </c>
      <c r="D98" s="2">
        <f>'Package Price Back Calcs'!G150-'Package Price Back Calcs'!G129</f>
        <v>25537.75</v>
      </c>
      <c r="E98" s="2"/>
      <c r="F98" s="2"/>
      <c r="G98" s="2"/>
      <c r="H98" s="2"/>
    </row>
    <row r="99" spans="1:9" ht="18" thickBot="1" x14ac:dyDescent="0.4">
      <c r="B99" s="27" t="s">
        <v>85</v>
      </c>
      <c r="C99" s="28" t="s">
        <v>59</v>
      </c>
      <c r="D99" s="27" t="s">
        <v>85</v>
      </c>
      <c r="E99" s="27"/>
      <c r="G99" s="27"/>
      <c r="H99" s="27"/>
    </row>
    <row r="100" spans="1:9" ht="18" thickBot="1" x14ac:dyDescent="0.4">
      <c r="B100" s="27"/>
      <c r="C100" s="28" t="s">
        <v>61</v>
      </c>
      <c r="D100" s="27"/>
      <c r="E100" s="27"/>
      <c r="F100" s="27"/>
      <c r="G100" s="2"/>
      <c r="H100" s="2"/>
    </row>
    <row r="101" spans="1:9" ht="18" thickBot="1" x14ac:dyDescent="0.4">
      <c r="B101" s="27"/>
      <c r="C101" s="28" t="s">
        <v>62</v>
      </c>
      <c r="D101" s="50">
        <f>'Package Price Back Calcs'!G171-'Package Price Back Calcs'!G162</f>
        <v>5660</v>
      </c>
      <c r="E101" s="27"/>
      <c r="F101" s="27"/>
      <c r="G101" s="2"/>
      <c r="H101" s="2"/>
    </row>
    <row r="102" spans="1:9" ht="18" thickBot="1" x14ac:dyDescent="0.4">
      <c r="B102" s="27"/>
      <c r="C102" s="28" t="s">
        <v>63</v>
      </c>
      <c r="D102" s="50">
        <f>'Package Price Back Calcs'!G180-'Package Price Back Calcs'!G162</f>
        <v>19160</v>
      </c>
      <c r="E102" s="27"/>
      <c r="F102" s="27"/>
      <c r="G102" s="2"/>
      <c r="H102" s="2"/>
    </row>
    <row r="103" spans="1:9" ht="18" thickBot="1" x14ac:dyDescent="0.4">
      <c r="B103" s="27"/>
      <c r="C103" s="28" t="s">
        <v>64</v>
      </c>
      <c r="D103" s="50">
        <f>'Package Price Back Calcs'!G189-'Package Price Back Calcs'!G162</f>
        <v>37090</v>
      </c>
      <c r="E103" s="27"/>
      <c r="F103" s="27"/>
      <c r="G103" s="2"/>
      <c r="H103" s="2"/>
    </row>
    <row r="104" spans="1:9" ht="18" thickBot="1" x14ac:dyDescent="0.4">
      <c r="A104" t="s">
        <v>114</v>
      </c>
      <c r="B104" s="27" t="s">
        <v>86</v>
      </c>
      <c r="C104" s="28" t="s">
        <v>59</v>
      </c>
      <c r="D104" s="27" t="str">
        <f>IF('Attributes Inputs and Outputs'!I8=0, "N/A", 'Package Price Calculations'!B104)</f>
        <v>Garage</v>
      </c>
      <c r="E104" s="27"/>
      <c r="G104" s="27"/>
      <c r="H104" s="27"/>
      <c r="I104" t="str">
        <f>IF('Attributes Inputs and Outputs'!E8='Defaults and Ranges'!G26, "Fininshed Basement", "N/A")</f>
        <v>N/A</v>
      </c>
    </row>
    <row r="105" spans="1:9" ht="18" thickBot="1" x14ac:dyDescent="0.4">
      <c r="B105" s="27"/>
      <c r="C105" s="28" t="s">
        <v>61</v>
      </c>
      <c r="D105" s="27"/>
      <c r="E105" s="27"/>
      <c r="F105" s="27"/>
      <c r="G105" s="2"/>
      <c r="H105" s="2"/>
      <c r="I105">
        <f>IF('Attributes Inputs and Outputs'!E8='Defaults and Ranges'!G26, 1, 0)</f>
        <v>0</v>
      </c>
    </row>
    <row r="106" spans="1:9" ht="18" thickBot="1" x14ac:dyDescent="0.4">
      <c r="B106" s="27"/>
      <c r="C106" s="28" t="s">
        <v>62</v>
      </c>
      <c r="D106" s="50">
        <f>'Package Price Back Calcs'!G543-'Package Price Back Calcs'!G532</f>
        <v>2500</v>
      </c>
      <c r="E106" s="27"/>
      <c r="F106" s="27"/>
      <c r="G106" s="2"/>
      <c r="H106" s="2"/>
    </row>
    <row r="107" spans="1:9" ht="18" thickBot="1" x14ac:dyDescent="0.4">
      <c r="B107" s="27"/>
      <c r="C107" s="28" t="s">
        <v>63</v>
      </c>
      <c r="D107" s="50">
        <f>'Package Price Back Calcs'!G554-'Package Price Back Calcs'!G532</f>
        <v>10345</v>
      </c>
      <c r="E107" s="27"/>
      <c r="F107" s="27"/>
      <c r="G107" s="2"/>
      <c r="H107" s="2"/>
    </row>
    <row r="108" spans="1:9" ht="18" thickBot="1" x14ac:dyDescent="0.4">
      <c r="B108" s="27"/>
      <c r="C108" s="28" t="s">
        <v>64</v>
      </c>
      <c r="D108" s="50">
        <f>'Package Price Back Calcs'!G566-'Package Price Back Calcs'!G532</f>
        <v>23861.74</v>
      </c>
      <c r="E108" s="27"/>
      <c r="F108" s="27"/>
      <c r="G108" s="2"/>
      <c r="H108" s="2"/>
    </row>
    <row r="109" spans="1:9" ht="18" thickBot="1" x14ac:dyDescent="0.4">
      <c r="B109" s="27" t="s">
        <v>579</v>
      </c>
      <c r="C109" s="28" t="s">
        <v>59</v>
      </c>
      <c r="D109" s="27" t="str">
        <f>IF('Attributes Inputs and Outputs'!E8='Defaults and Ranges'!G26,  'Package Price Calculations'!B109,"N/A")</f>
        <v>N/A</v>
      </c>
      <c r="E109" s="27"/>
      <c r="G109" s="27"/>
      <c r="H109" s="27"/>
    </row>
    <row r="110" spans="1:9" ht="18" thickBot="1" x14ac:dyDescent="0.4">
      <c r="B110" s="27"/>
      <c r="C110" s="28" t="s">
        <v>61</v>
      </c>
      <c r="D110" s="27"/>
      <c r="E110" s="27"/>
      <c r="G110" s="2"/>
      <c r="H110" s="2"/>
    </row>
    <row r="111" spans="1:9" ht="18" thickBot="1" x14ac:dyDescent="0.4">
      <c r="B111" s="27"/>
      <c r="C111" s="28" t="s">
        <v>62</v>
      </c>
      <c r="D111" s="50">
        <f>IF('Attributes Inputs and Outputs'!$E$8='Defaults and Ranges'!$G$26, 'Package Price Back Calcs'!G603-'Package Price Back Calcs'!G$595, 0)</f>
        <v>0</v>
      </c>
      <c r="E111" s="27"/>
      <c r="G111" s="2"/>
      <c r="H111" s="2"/>
    </row>
    <row r="112" spans="1:9" ht="18" thickBot="1" x14ac:dyDescent="0.4">
      <c r="B112" s="27"/>
      <c r="C112" s="28" t="s">
        <v>63</v>
      </c>
      <c r="D112" s="50">
        <f>IF('Attributes Inputs and Outputs'!$E$8='Defaults and Ranges'!$G$26, 'Package Price Back Calcs'!G611-'Package Price Back Calcs'!G$595, 0)</f>
        <v>0</v>
      </c>
      <c r="E112" s="27"/>
      <c r="G112" s="2"/>
      <c r="H112" s="2"/>
    </row>
    <row r="113" spans="2:8" ht="18" thickBot="1" x14ac:dyDescent="0.4">
      <c r="B113" s="27"/>
      <c r="C113" s="28" t="s">
        <v>64</v>
      </c>
      <c r="D113" s="50">
        <f>IF('Attributes Inputs and Outputs'!$E$8='Defaults and Ranges'!$G$26, 'Package Price Back Calcs'!G619-'Package Price Back Calcs'!G$595, 0)</f>
        <v>0</v>
      </c>
      <c r="E113" s="27"/>
      <c r="G113" s="2"/>
      <c r="H113" s="2"/>
    </row>
    <row r="114" spans="2:8" ht="18" thickBot="1" x14ac:dyDescent="0.4">
      <c r="B114" s="27" t="s">
        <v>599</v>
      </c>
      <c r="C114" s="28" t="s">
        <v>59</v>
      </c>
      <c r="D114" s="27" t="str">
        <f>IF('Attributes Inputs and Outputs'!E8='Defaults and Ranges'!G25,  'Package Price Calculations'!B114,"N/A")</f>
        <v>Unfinished Basement</v>
      </c>
      <c r="E114" s="27"/>
      <c r="G114" s="27"/>
      <c r="H114" s="27"/>
    </row>
    <row r="115" spans="2:8" ht="18" thickBot="1" x14ac:dyDescent="0.4">
      <c r="B115" s="27"/>
      <c r="C115" s="28" t="s">
        <v>61</v>
      </c>
      <c r="D115" s="27"/>
      <c r="E115" s="27"/>
      <c r="G115" s="2"/>
      <c r="H115" s="2"/>
    </row>
    <row r="116" spans="2:8" ht="18" thickBot="1" x14ac:dyDescent="0.4">
      <c r="B116" s="27"/>
      <c r="C116" s="28" t="s">
        <v>62</v>
      </c>
      <c r="D116" s="50">
        <f>IF('Attributes Inputs and Outputs'!$E$8='Defaults and Ranges'!$G$26, 0, IF('Attributes Inputs and Outputs'!$E$8='Defaults and Ranges'!$G$24, 0, 'Package Price Back Calcs'!G637-'Package Price Back Calcs'!G$630))</f>
        <v>899.5</v>
      </c>
      <c r="E116" s="27"/>
      <c r="G116" s="2"/>
      <c r="H116" s="2"/>
    </row>
    <row r="117" spans="2:8" ht="18" thickBot="1" x14ac:dyDescent="0.4">
      <c r="B117" s="27"/>
      <c r="C117" s="28" t="s">
        <v>63</v>
      </c>
      <c r="D117" s="50">
        <f>IF('Attributes Inputs and Outputs'!$E$8='Defaults and Ranges'!$G$26, 0, IF('Attributes Inputs and Outputs'!$E$8='Defaults and Ranges'!$G$24, 0, 'Package Price Back Calcs'!G644-'Package Price Back Calcs'!G$630))</f>
        <v>3154.0249999999996</v>
      </c>
      <c r="E117" s="27"/>
      <c r="G117" s="2"/>
      <c r="H117" s="2"/>
    </row>
    <row r="118" spans="2:8" ht="18" thickBot="1" x14ac:dyDescent="0.4">
      <c r="B118" s="27"/>
      <c r="C118" s="28" t="s">
        <v>64</v>
      </c>
      <c r="D118" s="50">
        <f>IF('Attributes Inputs and Outputs'!$E$8='Defaults and Ranges'!$G$26, 0, IF('Attributes Inputs and Outputs'!$E$8='Defaults and Ranges'!$G$24, 0, 'Package Price Back Calcs'!G651-'Package Price Back Calcs'!G$630))</f>
        <v>5448.75</v>
      </c>
      <c r="E118" s="27"/>
      <c r="G118" s="2"/>
      <c r="H118" s="2"/>
    </row>
    <row r="119" spans="2:8" ht="18" thickBot="1" x14ac:dyDescent="0.4">
      <c r="B119" s="27" t="s">
        <v>33</v>
      </c>
      <c r="C119" s="28" t="s">
        <v>59</v>
      </c>
      <c r="D119" s="27" t="str">
        <f>IF('Attributes Inputs and Outputs'!H8='Defaults and Ranges'!J24, "N/A", 'Package Price Calculations'!B119)</f>
        <v>N/A</v>
      </c>
      <c r="E119" s="27"/>
      <c r="G119" s="27"/>
      <c r="H119" s="27"/>
    </row>
    <row r="120" spans="2:8" ht="18" thickBot="1" x14ac:dyDescent="0.4">
      <c r="B120" s="27"/>
      <c r="C120" s="28" t="s">
        <v>61</v>
      </c>
      <c r="D120" s="27"/>
      <c r="E120" s="27"/>
      <c r="F120" s="27"/>
      <c r="G120" s="2"/>
      <c r="H120" s="2"/>
    </row>
    <row r="121" spans="2:8" ht="18" thickBot="1" x14ac:dyDescent="0.4">
      <c r="B121" s="27"/>
      <c r="C121" s="28" t="s">
        <v>62</v>
      </c>
      <c r="D121" s="50">
        <f>'Package Price Back Calcs'!G243-'Package Price Back Calcs'!G237</f>
        <v>3301</v>
      </c>
      <c r="E121" s="27"/>
      <c r="F121" s="27"/>
      <c r="G121" s="2"/>
      <c r="H121" s="2"/>
    </row>
    <row r="122" spans="2:8" ht="18" thickBot="1" x14ac:dyDescent="0.4">
      <c r="B122" s="27"/>
      <c r="C122" s="28" t="s">
        <v>63</v>
      </c>
      <c r="D122" s="50">
        <f>'Package Price Back Calcs'!G249-'Package Price Back Calcs'!G237</f>
        <v>11760</v>
      </c>
      <c r="E122" s="27"/>
      <c r="F122" s="27"/>
      <c r="G122" s="2"/>
      <c r="H122" s="2"/>
    </row>
    <row r="123" spans="2:8" ht="18" thickBot="1" x14ac:dyDescent="0.4">
      <c r="B123" s="27"/>
      <c r="C123" s="28" t="s">
        <v>64</v>
      </c>
      <c r="D123" s="50">
        <f>'Package Price Back Calcs'!G255-'Package Price Back Calcs'!G237</f>
        <v>21409.599999999999</v>
      </c>
      <c r="E123" s="27"/>
      <c r="F123" s="27"/>
      <c r="G123" s="2"/>
      <c r="H123" s="2"/>
    </row>
    <row r="124" spans="2:8" ht="18" thickBot="1" x14ac:dyDescent="0.4">
      <c r="B124" s="27" t="s">
        <v>39</v>
      </c>
      <c r="C124" s="28" t="s">
        <v>59</v>
      </c>
      <c r="D124" s="27" t="str">
        <f>IF('Attributes Inputs and Outputs'!H9='Defaults and Ranges'!J25, "N/A", 'Package Price Calculations'!B124)</f>
        <v>N/A</v>
      </c>
      <c r="E124" s="27"/>
      <c r="G124" s="27"/>
      <c r="H124" s="27"/>
    </row>
    <row r="125" spans="2:8" ht="18" thickBot="1" x14ac:dyDescent="0.4">
      <c r="B125" s="27"/>
      <c r="C125" s="28" t="s">
        <v>61</v>
      </c>
      <c r="D125" s="27"/>
      <c r="E125" s="27"/>
      <c r="F125" s="27"/>
      <c r="G125" s="2"/>
      <c r="H125" s="2"/>
    </row>
    <row r="126" spans="2:8" ht="18" thickBot="1" x14ac:dyDescent="0.4">
      <c r="B126" s="27"/>
      <c r="C126" s="28" t="s">
        <v>62</v>
      </c>
      <c r="D126" s="50">
        <f>'Package Price Back Calcs'!G272-'Package Price Back Calcs'!G265</f>
        <v>1025</v>
      </c>
      <c r="E126" s="27"/>
      <c r="F126" s="27"/>
      <c r="G126" s="2"/>
      <c r="H126" s="2"/>
    </row>
    <row r="127" spans="2:8" ht="18" thickBot="1" x14ac:dyDescent="0.4">
      <c r="B127" s="27"/>
      <c r="C127" s="28" t="s">
        <v>63</v>
      </c>
      <c r="D127" s="50">
        <f>'Package Price Back Calcs'!G279-'Package Price Back Calcs'!G265</f>
        <v>13693</v>
      </c>
      <c r="E127" s="27"/>
      <c r="F127" s="27"/>
      <c r="G127" s="2"/>
      <c r="H127" s="2"/>
    </row>
    <row r="128" spans="2:8" ht="18" thickBot="1" x14ac:dyDescent="0.4">
      <c r="B128" s="27"/>
      <c r="C128" s="28" t="s">
        <v>64</v>
      </c>
      <c r="D128" s="50">
        <f>'Package Price Back Calcs'!G286-'Package Price Back Calcs'!G265</f>
        <v>22887</v>
      </c>
      <c r="E128" s="27"/>
      <c r="F128" s="27"/>
      <c r="G128" s="2"/>
      <c r="H128" s="2"/>
    </row>
    <row r="129" spans="2:8" ht="18" thickBot="1" x14ac:dyDescent="0.4">
      <c r="B129" s="27" t="s">
        <v>41</v>
      </c>
      <c r="C129" s="28" t="s">
        <v>59</v>
      </c>
      <c r="D129" s="27" t="str">
        <f>IF('Attributes Inputs and Outputs'!H10='Defaults and Ranges'!J26, "N/A", 'Package Price Calculations'!B129)</f>
        <v>N/A</v>
      </c>
      <c r="E129" s="27"/>
      <c r="G129" s="27"/>
      <c r="H129" s="27"/>
    </row>
    <row r="130" spans="2:8" ht="18" thickBot="1" x14ac:dyDescent="0.4">
      <c r="B130" s="27"/>
      <c r="C130" s="28" t="s">
        <v>61</v>
      </c>
      <c r="D130" s="27"/>
      <c r="E130" s="27"/>
      <c r="G130" s="2"/>
      <c r="H130" s="2"/>
    </row>
    <row r="131" spans="2:8" ht="18" thickBot="1" x14ac:dyDescent="0.4">
      <c r="B131" s="27"/>
      <c r="C131" s="28" t="s">
        <v>62</v>
      </c>
      <c r="D131" s="50">
        <f>'Package Price Back Calcs'!G307-'Package Price Back Calcs'!G298</f>
        <v>1370</v>
      </c>
      <c r="E131" s="27"/>
      <c r="G131" s="2"/>
      <c r="H131" s="2"/>
    </row>
    <row r="132" spans="2:8" ht="18" thickBot="1" x14ac:dyDescent="0.4">
      <c r="B132" s="27"/>
      <c r="C132" s="28" t="s">
        <v>63</v>
      </c>
      <c r="D132" s="50">
        <f>'Package Price Back Calcs'!G316-'Package Price Back Calcs'!G298</f>
        <v>8070</v>
      </c>
      <c r="E132" s="27"/>
      <c r="G132" s="2"/>
      <c r="H132" s="2"/>
    </row>
    <row r="133" spans="2:8" ht="18" thickBot="1" x14ac:dyDescent="0.4">
      <c r="B133" s="27"/>
      <c r="C133" s="28" t="s">
        <v>64</v>
      </c>
      <c r="D133" s="50">
        <f>'Package Price Back Calcs'!G325-'Package Price Back Calcs'!G298</f>
        <v>21138</v>
      </c>
      <c r="E133" s="27"/>
      <c r="G133" s="2"/>
      <c r="H133" s="2"/>
    </row>
    <row r="134" spans="2:8" ht="18" thickBot="1" x14ac:dyDescent="0.4">
      <c r="B134" s="27" t="s">
        <v>42</v>
      </c>
      <c r="C134" s="28" t="s">
        <v>59</v>
      </c>
      <c r="D134" s="27" t="str">
        <f>IF('Attributes Inputs and Outputs'!H11='Defaults and Ranges'!J27, "N/A", 'Package Price Calculations'!B134)</f>
        <v>N/A</v>
      </c>
      <c r="E134" s="27"/>
      <c r="G134" s="27"/>
      <c r="H134" s="27"/>
    </row>
    <row r="135" spans="2:8" ht="18" thickBot="1" x14ac:dyDescent="0.4">
      <c r="B135" s="27"/>
      <c r="C135" s="28" t="s">
        <v>61</v>
      </c>
      <c r="D135" s="27"/>
      <c r="E135" s="27"/>
      <c r="G135" s="2"/>
      <c r="H135" s="2"/>
    </row>
    <row r="136" spans="2:8" ht="18" thickBot="1" x14ac:dyDescent="0.4">
      <c r="B136" s="27"/>
      <c r="C136" s="28" t="s">
        <v>62</v>
      </c>
      <c r="D136" s="50">
        <f>'Package Price Back Calcs'!G411-'Package Price Back Calcs'!G401</f>
        <v>5865.2000000000007</v>
      </c>
      <c r="E136" s="27"/>
      <c r="G136" s="2"/>
      <c r="H136" s="2"/>
    </row>
    <row r="137" spans="2:8" ht="18" thickBot="1" x14ac:dyDescent="0.4">
      <c r="B137" s="27"/>
      <c r="C137" s="28" t="s">
        <v>63</v>
      </c>
      <c r="D137" s="50">
        <f>'Package Price Back Calcs'!G421-'Package Price Back Calcs'!G401</f>
        <v>16179.8</v>
      </c>
      <c r="E137" s="27"/>
      <c r="G137" s="2"/>
      <c r="H137" s="2"/>
    </row>
    <row r="138" spans="2:8" ht="18" thickBot="1" x14ac:dyDescent="0.4">
      <c r="B138" s="27"/>
      <c r="C138" s="28" t="s">
        <v>64</v>
      </c>
      <c r="D138" s="50">
        <f>'Package Price Back Calcs'!G431-'Package Price Back Calcs'!G401</f>
        <v>32366</v>
      </c>
      <c r="E138" s="27"/>
      <c r="G138" s="2"/>
      <c r="H138" s="2"/>
    </row>
    <row r="139" spans="2:8" ht="18" thickBot="1" x14ac:dyDescent="0.4">
      <c r="B139" s="27" t="s">
        <v>43</v>
      </c>
      <c r="C139" s="28" t="s">
        <v>59</v>
      </c>
      <c r="D139" s="27" t="str">
        <f>IF('Attributes Inputs and Outputs'!H12='Defaults and Ranges'!J28, "N/A", 'Package Price Calculations'!B139)</f>
        <v>N/A</v>
      </c>
      <c r="E139" s="27"/>
      <c r="G139" s="2"/>
      <c r="H139" s="2"/>
    </row>
    <row r="140" spans="2:8" ht="18" thickBot="1" x14ac:dyDescent="0.4">
      <c r="B140" s="27"/>
      <c r="C140" s="28" t="s">
        <v>61</v>
      </c>
      <c r="D140" s="27"/>
      <c r="E140" s="27"/>
      <c r="G140" s="2"/>
      <c r="H140" s="2"/>
    </row>
    <row r="141" spans="2:8" ht="18" thickBot="1" x14ac:dyDescent="0.4">
      <c r="B141" s="27"/>
      <c r="C141" s="28" t="s">
        <v>62</v>
      </c>
      <c r="D141" s="50">
        <f>'Package Price Back Calcs'!G342-'Package Price Back Calcs'!G335</f>
        <v>3005.4000000000005</v>
      </c>
      <c r="E141" s="27"/>
      <c r="G141" s="2"/>
      <c r="H141" s="2"/>
    </row>
    <row r="142" spans="2:8" ht="18" thickBot="1" x14ac:dyDescent="0.4">
      <c r="B142" s="27"/>
      <c r="C142" s="28" t="s">
        <v>63</v>
      </c>
      <c r="D142" s="50">
        <f>'Package Price Back Calcs'!G349-'Package Price Back Calcs'!G335</f>
        <v>10744.8</v>
      </c>
      <c r="E142" s="27"/>
      <c r="G142" s="2"/>
      <c r="H142" s="2"/>
    </row>
    <row r="143" spans="2:8" ht="18" thickBot="1" x14ac:dyDescent="0.4">
      <c r="B143" s="27"/>
      <c r="C143" s="28" t="s">
        <v>64</v>
      </c>
      <c r="D143" s="50">
        <f>'Package Price Back Calcs'!G356-'Package Price Back Calcs'!G335</f>
        <v>17652.8</v>
      </c>
      <c r="E143" s="27"/>
      <c r="G143" s="2"/>
      <c r="H143" s="2"/>
    </row>
    <row r="144" spans="2:8" ht="18" thickBot="1" x14ac:dyDescent="0.4">
      <c r="B144" s="27" t="s">
        <v>44</v>
      </c>
      <c r="C144" s="28" t="s">
        <v>59</v>
      </c>
      <c r="D144" s="27" t="str">
        <f>IF('Attributes Inputs and Outputs'!H13='Defaults and Ranges'!J29, "N/A", 'Package Price Calculations'!B144)</f>
        <v>N/A</v>
      </c>
      <c r="E144" s="27"/>
      <c r="G144" s="2"/>
      <c r="H144" s="2"/>
    </row>
    <row r="145" spans="2:8" ht="18" thickBot="1" x14ac:dyDescent="0.4">
      <c r="B145" s="27"/>
      <c r="C145" s="28" t="s">
        <v>61</v>
      </c>
      <c r="D145" s="27"/>
      <c r="E145" s="27"/>
      <c r="G145" s="2"/>
      <c r="H145" s="2"/>
    </row>
    <row r="146" spans="2:8" ht="18" thickBot="1" x14ac:dyDescent="0.4">
      <c r="B146" s="27"/>
      <c r="C146" s="28" t="s">
        <v>62</v>
      </c>
      <c r="D146" s="50">
        <f>'Package Price Back Calcs'!G374-'Package Price Back Calcs'!G367</f>
        <v>1400</v>
      </c>
      <c r="E146" s="27"/>
      <c r="G146" s="2"/>
      <c r="H146" s="2"/>
    </row>
    <row r="147" spans="2:8" ht="18" thickBot="1" x14ac:dyDescent="0.4">
      <c r="B147" s="27"/>
      <c r="C147" s="28" t="s">
        <v>63</v>
      </c>
      <c r="D147" s="50">
        <f>'Package Price Back Calcs'!G381-'Package Price Back Calcs'!G367</f>
        <v>9904</v>
      </c>
      <c r="E147" s="27"/>
      <c r="G147" s="2"/>
      <c r="H147" s="2"/>
    </row>
    <row r="148" spans="2:8" ht="18" thickBot="1" x14ac:dyDescent="0.4">
      <c r="B148" s="27"/>
      <c r="C148" s="28" t="s">
        <v>64</v>
      </c>
      <c r="D148" s="50">
        <f>'Package Price Back Calcs'!G388-'Package Price Back Calcs'!G367</f>
        <v>18520</v>
      </c>
      <c r="E148" s="27"/>
      <c r="G148" s="2"/>
      <c r="H148" s="2"/>
    </row>
    <row r="149" spans="2:8" ht="18" thickBot="1" x14ac:dyDescent="0.4">
      <c r="B149" s="27" t="s">
        <v>46</v>
      </c>
      <c r="C149" s="28" t="s">
        <v>59</v>
      </c>
      <c r="D149" s="27" t="str">
        <f>IF('Attributes Inputs and Outputs'!H14='Defaults and Ranges'!J30, "N/A", 'Package Price Calculations'!B149)</f>
        <v>N/A</v>
      </c>
      <c r="E149" s="27"/>
      <c r="G149" s="2"/>
      <c r="H149" s="2"/>
    </row>
    <row r="150" spans="2:8" ht="18" thickBot="1" x14ac:dyDescent="0.4">
      <c r="B150" s="27"/>
      <c r="C150" s="28" t="s">
        <v>61</v>
      </c>
      <c r="D150" s="27"/>
      <c r="E150" s="27"/>
      <c r="G150" s="2"/>
      <c r="H150" s="2"/>
    </row>
    <row r="151" spans="2:8" ht="18" thickBot="1" x14ac:dyDescent="0.4">
      <c r="B151" s="27"/>
      <c r="C151" s="28" t="s">
        <v>62</v>
      </c>
      <c r="D151" s="50">
        <f>'Package Price Back Calcs'!G499-'Package Price Back Calcs'!G490</f>
        <v>10138.799999999999</v>
      </c>
      <c r="E151" s="27"/>
      <c r="G151" s="2"/>
      <c r="H151" s="2"/>
    </row>
    <row r="152" spans="2:8" ht="18" thickBot="1" x14ac:dyDescent="0.4">
      <c r="B152" s="27"/>
      <c r="C152" s="28" t="s">
        <v>63</v>
      </c>
      <c r="D152" s="50">
        <f>'Package Price Back Calcs'!G508-'Package Price Back Calcs'!G490</f>
        <v>26148.799999999999</v>
      </c>
      <c r="E152" s="27"/>
      <c r="G152" s="2"/>
      <c r="H152" s="2"/>
    </row>
    <row r="153" spans="2:8" ht="18" thickBot="1" x14ac:dyDescent="0.4">
      <c r="B153" s="27"/>
      <c r="C153" s="28" t="s">
        <v>64</v>
      </c>
      <c r="D153" s="50">
        <f>'Package Price Back Calcs'!G517-'Package Price Back Calcs'!G490</f>
        <v>61560.800000000003</v>
      </c>
      <c r="E153" s="27"/>
      <c r="G153" s="2"/>
      <c r="H153" s="2"/>
    </row>
    <row r="154" spans="2:8" ht="18" thickBot="1" x14ac:dyDescent="0.4">
      <c r="B154" s="27" t="s">
        <v>47</v>
      </c>
      <c r="C154" s="28" t="s">
        <v>59</v>
      </c>
      <c r="D154" s="27" t="str">
        <f>IF('Attributes Inputs and Outputs'!H15='Defaults and Ranges'!J31, "N/A", 'Package Price Calculations'!B154)</f>
        <v>N/A</v>
      </c>
      <c r="E154" s="27"/>
      <c r="G154" s="2"/>
      <c r="H154" s="2"/>
    </row>
    <row r="155" spans="2:8" ht="18" thickBot="1" x14ac:dyDescent="0.4">
      <c r="B155" s="27"/>
      <c r="C155" s="28" t="s">
        <v>61</v>
      </c>
      <c r="D155" s="27"/>
      <c r="E155" s="27"/>
      <c r="G155" s="2"/>
      <c r="H155" s="2"/>
    </row>
    <row r="156" spans="2:8" ht="18" thickBot="1" x14ac:dyDescent="0.4">
      <c r="B156" s="27"/>
      <c r="C156" s="28" t="s">
        <v>62</v>
      </c>
      <c r="D156" s="50">
        <f>'Package Price Back Calcs'!G456-'Package Price Back Calcs'!G446</f>
        <v>5684</v>
      </c>
      <c r="E156" s="27"/>
      <c r="G156" s="2"/>
      <c r="H156" s="2"/>
    </row>
    <row r="157" spans="2:8" ht="18" thickBot="1" x14ac:dyDescent="0.4">
      <c r="B157" s="27"/>
      <c r="C157" s="28" t="s">
        <v>63</v>
      </c>
      <c r="D157" s="50">
        <f>'Package Price Back Calcs'!G466-'Package Price Back Calcs'!G446</f>
        <v>18342</v>
      </c>
      <c r="E157" s="27"/>
      <c r="G157" s="2"/>
      <c r="H157" s="2"/>
    </row>
    <row r="158" spans="2:8" ht="18" thickBot="1" x14ac:dyDescent="0.4">
      <c r="B158" s="27"/>
      <c r="C158" s="28" t="s">
        <v>64</v>
      </c>
      <c r="D158" s="50">
        <f>'Package Price Back Calcs'!G476-'Package Price Back Calcs'!G446</f>
        <v>34842</v>
      </c>
      <c r="E158" s="27"/>
      <c r="G158" s="2"/>
      <c r="H158" s="2"/>
    </row>
    <row r="159" spans="2:8" ht="18" thickBot="1" x14ac:dyDescent="0.4">
      <c r="B159" s="27" t="s">
        <v>48</v>
      </c>
      <c r="C159" s="28" t="s">
        <v>59</v>
      </c>
      <c r="D159" s="27" t="str">
        <f>IF('Attributes Inputs and Outputs'!H16='Defaults and Ranges'!J32, "N/A", 'Package Price Calculations'!B159)</f>
        <v>N/A</v>
      </c>
      <c r="E159" s="27"/>
      <c r="G159" s="2"/>
      <c r="H159" s="2"/>
    </row>
    <row r="160" spans="2:8" ht="18" thickBot="1" x14ac:dyDescent="0.4">
      <c r="B160" s="27"/>
      <c r="C160" s="28" t="s">
        <v>61</v>
      </c>
      <c r="D160" s="27"/>
      <c r="E160" s="27"/>
      <c r="F160" s="27"/>
      <c r="G160" s="2"/>
      <c r="H160" s="2"/>
    </row>
    <row r="161" spans="2:8" ht="18" thickBot="1" x14ac:dyDescent="0.4">
      <c r="B161" s="27"/>
      <c r="C161" s="28" t="s">
        <v>62</v>
      </c>
      <c r="D161" s="50">
        <f>'Package Price Back Calcs'!G210-'Package Price Back Calcs'!G201</f>
        <v>4660</v>
      </c>
      <c r="E161" s="27"/>
      <c r="F161" s="27"/>
      <c r="G161" s="2"/>
      <c r="H161" s="2"/>
    </row>
    <row r="162" spans="2:8" ht="18" thickBot="1" x14ac:dyDescent="0.4">
      <c r="B162" s="27"/>
      <c r="C162" s="28" t="s">
        <v>63</v>
      </c>
      <c r="D162" s="50">
        <f>'Package Price Back Calcs'!G219-'Package Price Back Calcs'!G201</f>
        <v>14160</v>
      </c>
      <c r="E162" s="27"/>
      <c r="F162" s="27"/>
      <c r="G162" s="2"/>
      <c r="H162" s="2"/>
    </row>
    <row r="163" spans="2:8" ht="18" thickBot="1" x14ac:dyDescent="0.4">
      <c r="B163" s="27"/>
      <c r="C163" s="28" t="s">
        <v>64</v>
      </c>
      <c r="D163" s="50">
        <f>'Package Price Back Calcs'!G228-'Package Price Back Calcs'!G201</f>
        <v>31790</v>
      </c>
      <c r="E163" s="27"/>
      <c r="F163" s="27"/>
      <c r="G163" s="2"/>
      <c r="H163" s="2"/>
    </row>
    <row r="164" spans="2:8" ht="18" thickBot="1" x14ac:dyDescent="0.4">
      <c r="B164" s="27" t="s">
        <v>615</v>
      </c>
      <c r="C164" s="28" t="s">
        <v>59</v>
      </c>
      <c r="D164" s="27" t="str">
        <f>IF('Attributes Inputs and Outputs'!H17='Defaults and Ranges'!J33, "N/A", 'Package Price Calculations'!B164)</f>
        <v>N/A</v>
      </c>
      <c r="E164" s="27"/>
      <c r="G164" s="2"/>
      <c r="H164" s="2"/>
    </row>
    <row r="165" spans="2:8" ht="18" thickBot="1" x14ac:dyDescent="0.4">
      <c r="B165" s="27"/>
      <c r="C165" s="28" t="s">
        <v>61</v>
      </c>
      <c r="D165" s="27"/>
      <c r="E165" s="27"/>
      <c r="F165" s="27"/>
      <c r="G165" s="2"/>
      <c r="H165" s="2"/>
    </row>
    <row r="166" spans="2:8" ht="18" thickBot="1" x14ac:dyDescent="0.4">
      <c r="B166" s="27"/>
      <c r="C166" s="28" t="s">
        <v>62</v>
      </c>
      <c r="D166" s="50">
        <f>'Package Price Back Calcs'!G755-'Package Price Back Calcs'!G747</f>
        <v>4112.3703125000002</v>
      </c>
      <c r="E166" s="27"/>
      <c r="F166" s="27"/>
      <c r="G166" s="2"/>
      <c r="H166" s="2"/>
    </row>
    <row r="167" spans="2:8" ht="18" thickBot="1" x14ac:dyDescent="0.4">
      <c r="B167" s="27"/>
      <c r="C167" s="28" t="s">
        <v>63</v>
      </c>
      <c r="D167" s="50">
        <f>'Package Price Back Calcs'!G763-'Package Price Back Calcs'!G747</f>
        <v>9511.2453124999993</v>
      </c>
      <c r="E167" s="27"/>
      <c r="F167" s="27"/>
      <c r="G167" s="2"/>
      <c r="H167" s="2"/>
    </row>
    <row r="168" spans="2:8" ht="18" thickBot="1" x14ac:dyDescent="0.4">
      <c r="B168" s="27"/>
      <c r="C168" s="28" t="s">
        <v>64</v>
      </c>
      <c r="D168" s="50">
        <f>'Package Price Back Calcs'!G771-'Package Price Back Calcs'!G747</f>
        <v>20813.620312499999</v>
      </c>
      <c r="E168" s="27"/>
      <c r="F168" s="27"/>
      <c r="G168" s="2"/>
      <c r="H168" s="2"/>
    </row>
    <row r="169" spans="2:8" ht="18" thickBot="1" x14ac:dyDescent="0.4">
      <c r="B169" s="27" t="s">
        <v>657</v>
      </c>
      <c r="C169" s="28" t="s">
        <v>59</v>
      </c>
      <c r="D169" s="27" t="str">
        <f>IF('Attributes Inputs and Outputs'!H18='Defaults and Ranges'!J34, "N/A", 'Package Price Calculations'!B169)</f>
        <v>N/A</v>
      </c>
      <c r="E169" s="27"/>
      <c r="G169" s="2"/>
      <c r="H169" s="2"/>
    </row>
    <row r="170" spans="2:8" ht="18" thickBot="1" x14ac:dyDescent="0.4">
      <c r="B170" s="27"/>
      <c r="C170" s="28" t="s">
        <v>61</v>
      </c>
      <c r="D170" s="27"/>
      <c r="E170" s="27"/>
      <c r="F170" s="27"/>
      <c r="G170" s="2"/>
      <c r="H170" s="2"/>
    </row>
    <row r="171" spans="2:8" ht="18" thickBot="1" x14ac:dyDescent="0.4">
      <c r="B171" s="27"/>
      <c r="C171" s="28" t="s">
        <v>62</v>
      </c>
      <c r="D171" s="50">
        <f>'Package Price Back Calcs'!G1245-'Package Price Back Calcs'!G1242</f>
        <v>25725</v>
      </c>
      <c r="E171" s="27"/>
      <c r="F171" s="27"/>
      <c r="G171" s="2"/>
      <c r="H171" s="2"/>
    </row>
    <row r="172" spans="2:8" ht="18" thickBot="1" x14ac:dyDescent="0.4">
      <c r="B172" s="27"/>
      <c r="C172" s="28" t="s">
        <v>63</v>
      </c>
      <c r="D172" s="50">
        <f>'Package Price Back Calcs'!G1248-'Package Price Back Calcs'!G1242</f>
        <v>47725</v>
      </c>
      <c r="E172" s="27"/>
      <c r="F172" s="27"/>
      <c r="G172" s="2"/>
      <c r="H172" s="2"/>
    </row>
    <row r="173" spans="2:8" ht="18" thickBot="1" x14ac:dyDescent="0.4">
      <c r="B173" s="27"/>
      <c r="C173" s="28" t="s">
        <v>64</v>
      </c>
      <c r="D173" s="50">
        <f>'Package Price Back Calcs'!G1251-'Package Price Back Calcs'!G1242</f>
        <v>117725</v>
      </c>
      <c r="E173" s="27"/>
      <c r="F173" s="27"/>
      <c r="G173" s="2"/>
      <c r="H173" s="2"/>
    </row>
    <row r="174" spans="2:8" ht="18" thickBot="1" x14ac:dyDescent="0.4">
      <c r="B174" s="27" t="s">
        <v>674</v>
      </c>
      <c r="C174" s="28" t="s">
        <v>59</v>
      </c>
      <c r="D174" s="27" t="str">
        <f>IF('Attributes Inputs and Outputs'!H19='Defaults and Ranges'!J35, "N/A", 'Package Price Calculations'!B174)</f>
        <v>N/A</v>
      </c>
      <c r="E174" s="27"/>
      <c r="G174" s="2"/>
      <c r="H174" s="2"/>
    </row>
    <row r="175" spans="2:8" ht="18" thickBot="1" x14ac:dyDescent="0.4">
      <c r="B175" s="27"/>
      <c r="C175" s="28" t="s">
        <v>61</v>
      </c>
      <c r="D175" s="27"/>
      <c r="E175" s="27"/>
      <c r="F175" s="27"/>
      <c r="G175" s="2"/>
      <c r="H175" s="2"/>
    </row>
    <row r="176" spans="2:8" ht="18" thickBot="1" x14ac:dyDescent="0.4">
      <c r="B176" s="27"/>
      <c r="C176" s="28" t="s">
        <v>62</v>
      </c>
      <c r="D176" s="50">
        <f>IF('Attributes Inputs and Outputs'!H19='Defaults and Ranges'!K35, 'Package Price Back Calcs'!G791-'Package Price Back Calcs'!G781, 0)</f>
        <v>0</v>
      </c>
      <c r="E176" s="27"/>
      <c r="F176" s="27"/>
      <c r="G176" s="2"/>
      <c r="H176" s="2"/>
    </row>
    <row r="177" spans="1:8" ht="18" thickBot="1" x14ac:dyDescent="0.4">
      <c r="B177" s="27"/>
      <c r="C177" s="28" t="s">
        <v>63</v>
      </c>
      <c r="D177" s="50">
        <f>IF('Attributes Inputs and Outputs'!H19='Defaults and Ranges'!K35, 'Package Price Back Calcs'!G797-'Package Price Back Calcs'!G781, 0)</f>
        <v>0</v>
      </c>
      <c r="E177" s="27"/>
      <c r="F177" s="27"/>
      <c r="G177" s="2"/>
      <c r="H177" s="2"/>
    </row>
    <row r="178" spans="1:8" ht="18" thickBot="1" x14ac:dyDescent="0.4">
      <c r="B178" s="27"/>
      <c r="C178" s="27" t="s">
        <v>64</v>
      </c>
      <c r="D178" s="50">
        <f>IF('Attributes Inputs and Outputs'!H19='Defaults and Ranges'!K35, 'Package Price Back Calcs'!G804-'Package Price Back Calcs'!G781, 0)</f>
        <v>0</v>
      </c>
      <c r="E178" s="27"/>
      <c r="F178" s="27"/>
      <c r="G178" s="2"/>
      <c r="H178" s="2"/>
    </row>
    <row r="179" spans="1:8" ht="18" thickBot="1" x14ac:dyDescent="0.4">
      <c r="A179" t="s">
        <v>87</v>
      </c>
      <c r="B179" s="27" t="s">
        <v>578</v>
      </c>
      <c r="C179" s="27" t="s">
        <v>59</v>
      </c>
      <c r="D179" s="27" t="s">
        <v>578</v>
      </c>
      <c r="E179" s="27"/>
      <c r="F179" s="28"/>
      <c r="G179" s="2"/>
      <c r="H179" s="2"/>
    </row>
    <row r="180" spans="1:8" ht="18" thickBot="1" x14ac:dyDescent="0.4">
      <c r="C180" s="28" t="s">
        <v>61</v>
      </c>
      <c r="E180" s="27"/>
      <c r="F180" s="28"/>
      <c r="G180" s="2"/>
      <c r="H180" s="2"/>
    </row>
    <row r="181" spans="1:8" ht="18" thickBot="1" x14ac:dyDescent="0.4">
      <c r="C181" s="28" t="s">
        <v>62</v>
      </c>
      <c r="D181" s="13">
        <f>'Package Price Back Calcs'!G577-'Package Price Back Calcs'!G574</f>
        <v>5172.7499999999991</v>
      </c>
      <c r="E181" s="27"/>
      <c r="F181" s="28"/>
      <c r="G181" s="2"/>
      <c r="H181" s="2"/>
    </row>
    <row r="182" spans="1:8" ht="18" thickBot="1" x14ac:dyDescent="0.4">
      <c r="C182" s="28" t="s">
        <v>63</v>
      </c>
      <c r="D182" s="13">
        <f>'Package Price Back Calcs'!G580-'Package Price Back Calcs'!G574</f>
        <v>11380.05</v>
      </c>
      <c r="E182" s="27"/>
      <c r="F182" s="28"/>
      <c r="G182" s="2"/>
      <c r="H182" s="2"/>
    </row>
    <row r="183" spans="1:8" ht="18" thickBot="1" x14ac:dyDescent="0.4">
      <c r="C183" s="28" t="s">
        <v>64</v>
      </c>
      <c r="D183" s="13">
        <f>'Package Price Back Calcs'!G583-'Package Price Back Calcs'!G574</f>
        <v>18104.625</v>
      </c>
      <c r="E183" s="27"/>
      <c r="F183" s="28"/>
      <c r="G183" s="2"/>
      <c r="H183" s="2"/>
    </row>
    <row r="184" spans="1:8" ht="18" thickBot="1" x14ac:dyDescent="0.4">
      <c r="B184" s="27" t="s">
        <v>88</v>
      </c>
      <c r="C184" s="28" t="s">
        <v>59</v>
      </c>
      <c r="D184" s="27" t="s">
        <v>88</v>
      </c>
      <c r="E184" s="27"/>
      <c r="G184" s="27"/>
      <c r="H184" s="27"/>
    </row>
    <row r="185" spans="1:8" ht="17.399999999999999" x14ac:dyDescent="0.35">
      <c r="C185" s="28" t="s">
        <v>61</v>
      </c>
      <c r="E185" s="2"/>
      <c r="G185" s="2"/>
      <c r="H185" s="2"/>
    </row>
    <row r="186" spans="1:8" ht="17.399999999999999" x14ac:dyDescent="0.35">
      <c r="C186" s="28" t="s">
        <v>62</v>
      </c>
      <c r="D186" s="13">
        <f>'Package Price Back Calcs'!G671-'Package Price Back Calcs'!G663</f>
        <v>4800</v>
      </c>
      <c r="E186" s="2"/>
      <c r="G186" s="2"/>
      <c r="H186" s="2"/>
    </row>
    <row r="187" spans="1:8" ht="17.399999999999999" x14ac:dyDescent="0.35">
      <c r="C187" s="28" t="s">
        <v>63</v>
      </c>
      <c r="D187" s="13">
        <f>'Package Price Back Calcs'!G679-'Package Price Back Calcs'!G663</f>
        <v>39300</v>
      </c>
      <c r="E187" s="2"/>
      <c r="G187" s="2"/>
      <c r="H187" s="2"/>
    </row>
    <row r="188" spans="1:8" ht="18" thickBot="1" x14ac:dyDescent="0.4">
      <c r="C188" s="28" t="s">
        <v>64</v>
      </c>
      <c r="D188" s="13">
        <f>'Package Price Back Calcs'!G687-'Package Price Back Calcs'!G663</f>
        <v>62300</v>
      </c>
      <c r="E188" s="2"/>
      <c r="G188" s="2"/>
      <c r="H188" s="2"/>
    </row>
    <row r="189" spans="1:8" ht="18" thickBot="1" x14ac:dyDescent="0.4">
      <c r="B189" s="27" t="s">
        <v>89</v>
      </c>
      <c r="C189" s="28" t="s">
        <v>59</v>
      </c>
      <c r="D189" s="27" t="s">
        <v>89</v>
      </c>
      <c r="E189" s="27"/>
      <c r="G189" s="27"/>
      <c r="H189" s="27"/>
    </row>
    <row r="190" spans="1:8" ht="17.399999999999999" x14ac:dyDescent="0.35">
      <c r="C190" s="28" t="s">
        <v>61</v>
      </c>
      <c r="E190" s="2"/>
      <c r="G190" s="2"/>
      <c r="H190" s="2"/>
    </row>
    <row r="191" spans="1:8" ht="17.399999999999999" x14ac:dyDescent="0.35">
      <c r="C191" s="28" t="s">
        <v>62</v>
      </c>
      <c r="D191" s="13">
        <f>'Package Price Back Calcs'!G702-'Package Price Back Calcs'!G697</f>
        <v>6712.5000000000018</v>
      </c>
      <c r="E191" s="2"/>
      <c r="G191" s="2"/>
      <c r="H191" s="2"/>
    </row>
    <row r="192" spans="1:8" ht="17.399999999999999" x14ac:dyDescent="0.35">
      <c r="C192" s="28" t="s">
        <v>63</v>
      </c>
      <c r="D192" s="13">
        <f>'Package Price Back Calcs'!G707-'Package Price Back Calcs'!G697</f>
        <v>22125</v>
      </c>
      <c r="E192" s="2"/>
      <c r="G192" s="2"/>
      <c r="H192" s="2"/>
    </row>
    <row r="193" spans="2:8" ht="18" thickBot="1" x14ac:dyDescent="0.4">
      <c r="C193" s="28" t="s">
        <v>64</v>
      </c>
      <c r="D193" s="13">
        <f>'Package Price Back Calcs'!G712-'Package Price Back Calcs'!G697</f>
        <v>51375</v>
      </c>
      <c r="E193" s="2"/>
      <c r="G193" s="2"/>
      <c r="H193" s="2"/>
    </row>
    <row r="194" spans="2:8" ht="18" thickBot="1" x14ac:dyDescent="0.4">
      <c r="B194" s="27" t="s">
        <v>90</v>
      </c>
      <c r="C194" s="28" t="s">
        <v>59</v>
      </c>
      <c r="D194" s="27" t="s">
        <v>90</v>
      </c>
      <c r="E194" s="27"/>
      <c r="G194" s="27"/>
      <c r="H194" s="27"/>
    </row>
    <row r="195" spans="2:8" ht="17.399999999999999" x14ac:dyDescent="0.35">
      <c r="C195" s="28" t="s">
        <v>61</v>
      </c>
      <c r="E195" s="2"/>
      <c r="G195" s="2"/>
      <c r="H195" s="2"/>
    </row>
    <row r="196" spans="2:8" ht="17.399999999999999" x14ac:dyDescent="0.35">
      <c r="C196" s="28" t="s">
        <v>62</v>
      </c>
      <c r="D196" s="13">
        <f>'Package Price Back Calcs'!G725-'Package Price Back Calcs'!G720</f>
        <v>1785</v>
      </c>
      <c r="E196" s="2"/>
      <c r="G196" s="2"/>
      <c r="H196" s="2"/>
    </row>
    <row r="197" spans="2:8" ht="17.399999999999999" x14ac:dyDescent="0.35">
      <c r="C197" s="28" t="s">
        <v>63</v>
      </c>
      <c r="D197" s="13">
        <f>'Package Price Back Calcs'!G730-'Package Price Back Calcs'!G720</f>
        <v>6947.9000000000015</v>
      </c>
      <c r="E197" s="2"/>
      <c r="G197" s="2"/>
      <c r="H197" s="2"/>
    </row>
    <row r="198" spans="2:8" ht="18" thickBot="1" x14ac:dyDescent="0.4">
      <c r="C198" s="28" t="s">
        <v>64</v>
      </c>
      <c r="D198" s="13">
        <f>'Package Price Back Calcs'!G735-'Package Price Back Calcs'!G720</f>
        <v>39202</v>
      </c>
      <c r="E198" s="2"/>
      <c r="G198" s="2"/>
      <c r="H198" s="2"/>
    </row>
    <row r="199" spans="2:8" ht="18" thickBot="1" x14ac:dyDescent="0.4">
      <c r="B199" s="27" t="s">
        <v>91</v>
      </c>
      <c r="C199" s="28" t="s">
        <v>59</v>
      </c>
      <c r="D199" s="27" t="str">
        <f>IF('Attributes Inputs and Outputs'!F8='Defaults and Ranges'!H27, B199, "N/A")</f>
        <v>N/A</v>
      </c>
      <c r="E199" s="27"/>
      <c r="G199" s="27"/>
      <c r="H199" s="27"/>
    </row>
    <row r="200" spans="2:8" ht="17.399999999999999" x14ac:dyDescent="0.35">
      <c r="C200" s="28" t="s">
        <v>61</v>
      </c>
      <c r="E200" s="2"/>
      <c r="G200" s="2"/>
      <c r="H200" s="2"/>
    </row>
    <row r="201" spans="2:8" ht="17.399999999999999" x14ac:dyDescent="0.35">
      <c r="C201" s="28" t="s">
        <v>62</v>
      </c>
      <c r="D201" s="13">
        <f>IF(D199="N/A", 0, 'Package Price Back Calcs'!G1368-'Package Price Back Calcs'!G1362)</f>
        <v>0</v>
      </c>
      <c r="E201" s="2"/>
      <c r="G201" s="2"/>
      <c r="H201" s="2"/>
    </row>
    <row r="202" spans="2:8" ht="17.399999999999999" x14ac:dyDescent="0.35">
      <c r="C202" s="28" t="s">
        <v>63</v>
      </c>
      <c r="D202" s="13">
        <f>IF(D199="N/A", 0, 'Package Price Back Calcs'!G1374-'Package Price Back Calcs'!G1362)</f>
        <v>0</v>
      </c>
      <c r="E202" s="2"/>
      <c r="G202" s="2"/>
      <c r="H202" s="2"/>
    </row>
    <row r="203" spans="2:8" ht="18" thickBot="1" x14ac:dyDescent="0.4">
      <c r="C203" s="28" t="s">
        <v>64</v>
      </c>
      <c r="D203" s="13">
        <f>IF(D199="N/A", 0,'Package Price Back Calcs'!G1380-'Package Price Back Calcs'!G1362)</f>
        <v>0</v>
      </c>
      <c r="E203" s="2"/>
      <c r="G203" s="2"/>
      <c r="H203" s="2"/>
    </row>
    <row r="204" spans="2:8" ht="18" thickBot="1" x14ac:dyDescent="0.4">
      <c r="B204" s="27" t="s">
        <v>673</v>
      </c>
      <c r="C204" s="28" t="s">
        <v>59</v>
      </c>
      <c r="D204" s="27" t="str">
        <f>IF('Attributes Inputs and Outputs'!F13='Defaults and Ranges'!H32, B204, "N/A")</f>
        <v>Baseboards &amp; Window &amp; Door Trim</v>
      </c>
      <c r="E204" s="27"/>
      <c r="G204" s="27"/>
      <c r="H204" s="27"/>
    </row>
    <row r="205" spans="2:8" ht="17.399999999999999" x14ac:dyDescent="0.35">
      <c r="C205" s="28" t="s">
        <v>61</v>
      </c>
      <c r="E205" s="2"/>
      <c r="G205" s="2"/>
      <c r="H205" s="2"/>
    </row>
    <row r="206" spans="2:8" ht="17.399999999999999" x14ac:dyDescent="0.35">
      <c r="C206" s="28" t="s">
        <v>62</v>
      </c>
      <c r="D206" s="13">
        <f>'Package Price Back Calcs'!G1038-'Package Price Back Calcs'!G1030</f>
        <v>612.91833333333398</v>
      </c>
      <c r="E206" s="2"/>
      <c r="G206" s="2"/>
      <c r="H206" s="2"/>
    </row>
    <row r="207" spans="2:8" ht="17.399999999999999" x14ac:dyDescent="0.35">
      <c r="C207" s="28" t="s">
        <v>63</v>
      </c>
      <c r="D207" s="13">
        <f>'Package Price Back Calcs'!G1046-'Package Price Back Calcs'!G1030</f>
        <v>4029.8383333333331</v>
      </c>
      <c r="E207" s="2"/>
      <c r="G207" s="2"/>
      <c r="H207" s="2"/>
    </row>
    <row r="208" spans="2:8" ht="18" thickBot="1" x14ac:dyDescent="0.4">
      <c r="C208" s="28" t="s">
        <v>64</v>
      </c>
      <c r="D208" s="13">
        <f>'Package Price Back Calcs'!G1054-'Package Price Back Calcs'!G1030</f>
        <v>6269.588333333334</v>
      </c>
      <c r="E208" s="2"/>
      <c r="G208" s="2"/>
      <c r="H208" s="2"/>
    </row>
    <row r="209" spans="2:8" ht="18" thickBot="1" x14ac:dyDescent="0.4">
      <c r="B209" s="27" t="s">
        <v>1307</v>
      </c>
      <c r="C209" s="28" t="s">
        <v>59</v>
      </c>
      <c r="D209" s="27" t="str">
        <f>IF('Attributes Inputs and Outputs'!F18='Defaults and Ranges'!H37, B209, "N/A")</f>
        <v>Paint Level</v>
      </c>
      <c r="E209" s="27"/>
      <c r="G209" s="27"/>
      <c r="H209" s="27"/>
    </row>
    <row r="210" spans="2:8" ht="17.399999999999999" x14ac:dyDescent="0.35">
      <c r="C210" s="28" t="s">
        <v>61</v>
      </c>
      <c r="E210" s="2"/>
      <c r="G210" s="2"/>
      <c r="H210" s="2"/>
    </row>
    <row r="211" spans="2:8" ht="17.399999999999999" x14ac:dyDescent="0.35">
      <c r="C211" s="28" t="s">
        <v>62</v>
      </c>
      <c r="D211" s="13">
        <f>'Package Price Back Calcs'!G1409-'Package Price Back Calcs'!G1405</f>
        <v>394.1142857142857</v>
      </c>
      <c r="E211" s="2"/>
      <c r="G211" s="2"/>
      <c r="H211" s="2"/>
    </row>
    <row r="212" spans="2:8" ht="17.399999999999999" x14ac:dyDescent="0.35">
      <c r="C212" s="28" t="s">
        <v>63</v>
      </c>
      <c r="D212" s="13">
        <f>'Package Price Back Calcs'!G1413-'Package Price Back Calcs'!G1405</f>
        <v>821.07142857142867</v>
      </c>
      <c r="E212" s="2"/>
      <c r="G212" s="2"/>
      <c r="H212" s="2"/>
    </row>
    <row r="213" spans="2:8" ht="18" thickBot="1" x14ac:dyDescent="0.4">
      <c r="C213" s="28" t="s">
        <v>64</v>
      </c>
      <c r="D213" s="13">
        <f>'Package Price Back Calcs'!G1417-'Package Price Back Calcs'!G1405</f>
        <v>1346.5571428571429</v>
      </c>
      <c r="E213" s="2"/>
      <c r="G213" s="2"/>
      <c r="H213" s="2"/>
    </row>
    <row r="214" spans="2:8" ht="18" thickBot="1" x14ac:dyDescent="0.4">
      <c r="B214" s="27" t="s">
        <v>94</v>
      </c>
      <c r="C214" s="28" t="s">
        <v>59</v>
      </c>
      <c r="D214" s="27" t="s">
        <v>94</v>
      </c>
      <c r="E214" s="27"/>
      <c r="G214" s="27"/>
      <c r="H214" s="27"/>
    </row>
    <row r="215" spans="2:8" ht="17.399999999999999" x14ac:dyDescent="0.35">
      <c r="C215" s="28" t="s">
        <v>61</v>
      </c>
      <c r="E215" s="2"/>
      <c r="G215" s="2"/>
      <c r="H215" s="2"/>
    </row>
    <row r="216" spans="2:8" ht="17.399999999999999" x14ac:dyDescent="0.35">
      <c r="C216" s="28" t="s">
        <v>62</v>
      </c>
      <c r="D216" s="13">
        <f>'Package Price Back Calcs'!G825-'Package Price Back Calcs'!G815</f>
        <v>2556.9919285000005</v>
      </c>
      <c r="E216" s="2"/>
      <c r="G216" s="2"/>
      <c r="H216" s="2"/>
    </row>
    <row r="217" spans="2:8" ht="17.399999999999999" x14ac:dyDescent="0.35">
      <c r="C217" s="28" t="s">
        <v>63</v>
      </c>
      <c r="D217" s="13">
        <f>'Package Price Back Calcs'!G831-'Package Price Back Calcs'!G815</f>
        <v>5836.9519075000007</v>
      </c>
      <c r="E217" s="2"/>
      <c r="G217" s="2"/>
      <c r="H217" s="2"/>
    </row>
    <row r="218" spans="2:8" ht="18" thickBot="1" x14ac:dyDescent="0.4">
      <c r="C218" s="28" t="s">
        <v>64</v>
      </c>
      <c r="D218" s="13">
        <f>'Package Price Back Calcs'!G837-'Package Price Back Calcs'!G815</f>
        <v>11500.594075000001</v>
      </c>
      <c r="E218" s="2"/>
      <c r="G218" s="2"/>
      <c r="H218" s="2"/>
    </row>
    <row r="219" spans="2:8" ht="18" thickBot="1" x14ac:dyDescent="0.4">
      <c r="B219" s="27" t="s">
        <v>95</v>
      </c>
      <c r="C219" s="28" t="s">
        <v>59</v>
      </c>
      <c r="D219" s="27" t="s">
        <v>95</v>
      </c>
      <c r="E219" s="27"/>
      <c r="G219" s="27"/>
      <c r="H219" s="27"/>
    </row>
    <row r="220" spans="2:8" ht="17.399999999999999" x14ac:dyDescent="0.35">
      <c r="C220" s="28" t="s">
        <v>61</v>
      </c>
      <c r="E220" s="2"/>
      <c r="G220" s="2"/>
      <c r="H220" s="2"/>
    </row>
    <row r="221" spans="2:8" ht="17.399999999999999" x14ac:dyDescent="0.35">
      <c r="C221" s="28" t="s">
        <v>62</v>
      </c>
      <c r="D221" s="13">
        <f>'Package Price Back Calcs'!G864-'Package Price Back Calcs'!G853</f>
        <v>2910</v>
      </c>
      <c r="E221" s="2"/>
      <c r="G221" s="2"/>
      <c r="H221" s="2"/>
    </row>
    <row r="222" spans="2:8" ht="17.399999999999999" x14ac:dyDescent="0.35">
      <c r="C222" s="28" t="s">
        <v>63</v>
      </c>
      <c r="D222" s="13">
        <f>'Package Price Back Calcs'!G875-'Package Price Back Calcs'!G853</f>
        <v>8810</v>
      </c>
      <c r="E222" s="2"/>
      <c r="G222" s="2"/>
      <c r="H222" s="2"/>
    </row>
    <row r="223" spans="2:8" ht="18" thickBot="1" x14ac:dyDescent="0.4">
      <c r="C223" s="28" t="s">
        <v>64</v>
      </c>
      <c r="D223" s="13">
        <f>'Package Price Back Calcs'!G886-'Package Price Back Calcs'!G853</f>
        <v>16560</v>
      </c>
      <c r="E223" s="2"/>
      <c r="G223" s="2"/>
      <c r="H223" s="2"/>
    </row>
    <row r="224" spans="2:8" ht="18" thickBot="1" x14ac:dyDescent="0.4">
      <c r="B224" s="27" t="s">
        <v>96</v>
      </c>
      <c r="C224" s="28" t="s">
        <v>59</v>
      </c>
      <c r="D224" s="27" t="s">
        <v>96</v>
      </c>
      <c r="E224" s="27"/>
      <c r="G224" s="27"/>
      <c r="H224" s="27"/>
    </row>
    <row r="225" spans="2:8" ht="17.399999999999999" x14ac:dyDescent="0.35">
      <c r="C225" s="28" t="s">
        <v>61</v>
      </c>
      <c r="E225" s="2"/>
      <c r="G225" s="2"/>
      <c r="H225" s="2"/>
    </row>
    <row r="226" spans="2:8" ht="17.399999999999999" x14ac:dyDescent="0.35">
      <c r="C226" s="28" t="s">
        <v>62</v>
      </c>
      <c r="D226" s="13">
        <f>'Package Price Back Calcs'!G911-'Package Price Back Calcs'!G901</f>
        <v>10779.189445668555</v>
      </c>
      <c r="E226" s="2"/>
      <c r="G226" s="2"/>
      <c r="H226" s="2"/>
    </row>
    <row r="227" spans="2:8" ht="17.399999999999999" x14ac:dyDescent="0.35">
      <c r="C227" s="28" t="s">
        <v>63</v>
      </c>
      <c r="D227" s="13">
        <f>'Package Price Back Calcs'!G921-'Package Price Back Calcs'!G901</f>
        <v>27705.014048065157</v>
      </c>
      <c r="E227" s="2"/>
      <c r="G227" s="2"/>
      <c r="H227" s="2"/>
    </row>
    <row r="228" spans="2:8" ht="18" thickBot="1" x14ac:dyDescent="0.4">
      <c r="C228" s="28" t="s">
        <v>64</v>
      </c>
      <c r="D228" s="13">
        <f>'Package Price Back Calcs'!G931-'Package Price Back Calcs'!G901</f>
        <v>75187.230446372225</v>
      </c>
      <c r="E228" s="2"/>
      <c r="G228" s="2"/>
      <c r="H228" s="2"/>
    </row>
    <row r="229" spans="2:8" ht="18" thickBot="1" x14ac:dyDescent="0.4">
      <c r="B229" s="27" t="s">
        <v>97</v>
      </c>
      <c r="C229" s="28" t="s">
        <v>59</v>
      </c>
      <c r="D229" s="27" t="s">
        <v>817</v>
      </c>
      <c r="E229" s="27"/>
      <c r="G229" s="27"/>
      <c r="H229" s="27"/>
    </row>
    <row r="230" spans="2:8" ht="17.399999999999999" x14ac:dyDescent="0.35">
      <c r="C230" s="28" t="s">
        <v>61</v>
      </c>
      <c r="E230" s="2"/>
      <c r="G230" s="2"/>
      <c r="H230" s="2"/>
    </row>
    <row r="231" spans="2:8" ht="17.399999999999999" x14ac:dyDescent="0.35">
      <c r="C231" s="28" t="s">
        <v>62</v>
      </c>
      <c r="E231" s="2"/>
      <c r="G231" s="2"/>
      <c r="H231" s="2"/>
    </row>
    <row r="232" spans="2:8" ht="17.399999999999999" x14ac:dyDescent="0.35">
      <c r="C232" s="28" t="s">
        <v>63</v>
      </c>
      <c r="E232" s="2"/>
      <c r="G232" s="2"/>
      <c r="H232" s="2"/>
    </row>
    <row r="233" spans="2:8" ht="18" thickBot="1" x14ac:dyDescent="0.4">
      <c r="C233" s="28" t="s">
        <v>64</v>
      </c>
      <c r="E233" s="2"/>
      <c r="G233" s="2"/>
      <c r="H233" s="2"/>
    </row>
    <row r="234" spans="2:8" ht="18" thickBot="1" x14ac:dyDescent="0.4">
      <c r="B234" s="27" t="s">
        <v>98</v>
      </c>
      <c r="C234" s="28" t="s">
        <v>59</v>
      </c>
      <c r="D234" s="27" t="s">
        <v>98</v>
      </c>
      <c r="E234" s="27"/>
      <c r="G234" s="27"/>
      <c r="H234" s="27"/>
    </row>
    <row r="235" spans="2:8" ht="17.399999999999999" x14ac:dyDescent="0.35">
      <c r="C235" s="28" t="s">
        <v>61</v>
      </c>
      <c r="E235" s="2"/>
      <c r="G235" s="2"/>
      <c r="H235" s="2"/>
    </row>
    <row r="236" spans="2:8" ht="17.399999999999999" x14ac:dyDescent="0.35">
      <c r="C236" s="28" t="s">
        <v>62</v>
      </c>
      <c r="D236" s="13">
        <f>'Package Price Back Calcs'!G956-'Package Price Back Calcs'!G946</f>
        <v>1175</v>
      </c>
      <c r="E236" s="2"/>
      <c r="G236" s="2"/>
      <c r="H236" s="2"/>
    </row>
    <row r="237" spans="2:8" ht="17.399999999999999" x14ac:dyDescent="0.35">
      <c r="C237" s="28" t="s">
        <v>63</v>
      </c>
      <c r="D237" s="13">
        <f>'Package Price Back Calcs'!G966-'Package Price Back Calcs'!G946</f>
        <v>4090</v>
      </c>
      <c r="E237" s="2"/>
      <c r="G237" s="2"/>
      <c r="H237" s="2"/>
    </row>
    <row r="238" spans="2:8" ht="18" thickBot="1" x14ac:dyDescent="0.4">
      <c r="C238" s="28" t="s">
        <v>64</v>
      </c>
      <c r="D238" s="13">
        <f>'Package Price Back Calcs'!G976-'Package Price Back Calcs'!G946</f>
        <v>7655</v>
      </c>
      <c r="E238" s="2"/>
      <c r="G238" s="2"/>
      <c r="H238" s="2"/>
    </row>
    <row r="239" spans="2:8" ht="18" thickBot="1" x14ac:dyDescent="0.4">
      <c r="B239" s="27" t="s">
        <v>99</v>
      </c>
      <c r="C239" s="28" t="s">
        <v>59</v>
      </c>
      <c r="D239" s="27" t="s">
        <v>99</v>
      </c>
      <c r="E239" s="27"/>
      <c r="G239" s="27"/>
      <c r="H239" s="27"/>
    </row>
    <row r="240" spans="2:8" ht="17.399999999999999" x14ac:dyDescent="0.35">
      <c r="C240" s="28" t="s">
        <v>61</v>
      </c>
      <c r="E240" s="2"/>
      <c r="G240" s="2"/>
      <c r="H240" s="2"/>
    </row>
    <row r="241" spans="2:8" ht="17.399999999999999" x14ac:dyDescent="0.35">
      <c r="C241" s="28" t="s">
        <v>62</v>
      </c>
      <c r="D241" s="13">
        <f>'Package Price Back Calcs'!G1341-'Package Price Back Calcs'!G1335</f>
        <v>9650</v>
      </c>
      <c r="E241" s="2"/>
      <c r="G241" s="2"/>
      <c r="H241" s="2"/>
    </row>
    <row r="242" spans="2:8" ht="17.399999999999999" x14ac:dyDescent="0.35">
      <c r="C242" s="28" t="s">
        <v>63</v>
      </c>
      <c r="D242" s="13">
        <f>'Package Price Back Calcs'!G1347-'Package Price Back Calcs'!G1335</f>
        <v>22350</v>
      </c>
      <c r="E242" s="2"/>
      <c r="G242" s="2"/>
      <c r="H242" s="2"/>
    </row>
    <row r="243" spans="2:8" ht="18" thickBot="1" x14ac:dyDescent="0.4">
      <c r="C243" s="28" t="s">
        <v>64</v>
      </c>
      <c r="D243" s="13">
        <f>'Package Price Back Calcs'!G1353-'Package Price Back Calcs'!G1335</f>
        <v>30700</v>
      </c>
      <c r="E243" s="2"/>
      <c r="G243" s="2"/>
      <c r="H243" s="2"/>
    </row>
    <row r="244" spans="2:8" ht="18" thickBot="1" x14ac:dyDescent="0.4">
      <c r="B244" s="27" t="s">
        <v>100</v>
      </c>
      <c r="C244" s="28" t="s">
        <v>59</v>
      </c>
      <c r="D244" s="27" t="s">
        <v>100</v>
      </c>
      <c r="E244" s="27"/>
      <c r="G244" s="27"/>
      <c r="H244" s="27"/>
    </row>
    <row r="245" spans="2:8" ht="17.399999999999999" x14ac:dyDescent="0.35">
      <c r="C245" s="28" t="s">
        <v>61</v>
      </c>
      <c r="E245" s="2"/>
      <c r="G245" s="2"/>
      <c r="H245" s="2"/>
    </row>
    <row r="246" spans="2:8" ht="17.399999999999999" x14ac:dyDescent="0.35">
      <c r="C246" s="28" t="s">
        <v>62</v>
      </c>
      <c r="D246" s="13">
        <f>'Package Price Back Calcs'!G1317-'Package Price Back Calcs'!G1313</f>
        <v>1200</v>
      </c>
      <c r="E246" s="2"/>
      <c r="G246" s="2"/>
      <c r="H246" s="2"/>
    </row>
    <row r="247" spans="2:8" ht="17.399999999999999" x14ac:dyDescent="0.35">
      <c r="C247" s="28" t="s">
        <v>63</v>
      </c>
      <c r="D247" s="13">
        <f>'Package Price Back Calcs'!G1321-'Package Price Back Calcs'!G1313</f>
        <v>6000</v>
      </c>
      <c r="E247" s="2"/>
      <c r="G247" s="2"/>
      <c r="H247" s="2"/>
    </row>
    <row r="248" spans="2:8" ht="18" thickBot="1" x14ac:dyDescent="0.4">
      <c r="C248" s="28" t="s">
        <v>64</v>
      </c>
      <c r="D248" s="13">
        <f>'Package Price Back Calcs'!G1325-'Package Price Back Calcs'!G1313</f>
        <v>8400</v>
      </c>
      <c r="E248" s="2"/>
      <c r="G248" s="2"/>
      <c r="H248" s="2"/>
    </row>
    <row r="249" spans="2:8" ht="18" thickBot="1" x14ac:dyDescent="0.4">
      <c r="B249" s="27" t="s">
        <v>101</v>
      </c>
      <c r="C249" s="28" t="s">
        <v>59</v>
      </c>
      <c r="D249" s="27" t="s">
        <v>101</v>
      </c>
      <c r="E249" s="27"/>
      <c r="G249" s="27"/>
      <c r="H249" s="27"/>
    </row>
    <row r="250" spans="2:8" ht="17.399999999999999" x14ac:dyDescent="0.35">
      <c r="C250" s="28" t="s">
        <v>61</v>
      </c>
      <c r="E250" s="2"/>
      <c r="G250" s="2"/>
      <c r="H250" s="2"/>
    </row>
    <row r="251" spans="2:8" ht="17.399999999999999" x14ac:dyDescent="0.35">
      <c r="C251" s="28" t="s">
        <v>62</v>
      </c>
      <c r="D251" s="13">
        <f>'Package Price Back Calcs'!G1296-'Package Price Back Calcs'!G1290</f>
        <v>600</v>
      </c>
      <c r="E251" s="2"/>
      <c r="G251" s="2"/>
      <c r="H251" s="2"/>
    </row>
    <row r="252" spans="2:8" ht="17.399999999999999" x14ac:dyDescent="0.35">
      <c r="C252" s="28" t="s">
        <v>63</v>
      </c>
      <c r="D252" s="13">
        <f>'Package Price Back Calcs'!G1302-'Package Price Back Calcs'!G1290</f>
        <v>1620</v>
      </c>
      <c r="E252" s="2"/>
      <c r="G252" s="2"/>
      <c r="H252" s="2"/>
    </row>
    <row r="253" spans="2:8" ht="18" thickBot="1" x14ac:dyDescent="0.4">
      <c r="C253" s="28" t="s">
        <v>64</v>
      </c>
      <c r="D253" s="13">
        <f>'Package Price Back Calcs'!G1306-'Package Price Back Calcs'!G1290</f>
        <v>3900</v>
      </c>
      <c r="E253" s="2"/>
      <c r="G253" s="2"/>
      <c r="H253" s="2"/>
    </row>
    <row r="254" spans="2:8" ht="18" thickBot="1" x14ac:dyDescent="0.4">
      <c r="B254" s="27" t="s">
        <v>25</v>
      </c>
      <c r="C254" s="28" t="s">
        <v>59</v>
      </c>
      <c r="D254" s="27" t="s">
        <v>25</v>
      </c>
      <c r="E254" s="27"/>
      <c r="G254" s="27"/>
      <c r="H254" s="27"/>
    </row>
    <row r="255" spans="2:8" ht="17.399999999999999" x14ac:dyDescent="0.35">
      <c r="C255" s="28" t="s">
        <v>61</v>
      </c>
      <c r="E255" s="2"/>
      <c r="G255" s="2"/>
      <c r="H255" s="2"/>
    </row>
    <row r="256" spans="2:8" ht="17.399999999999999" x14ac:dyDescent="0.35">
      <c r="C256" s="28" t="s">
        <v>62</v>
      </c>
      <c r="D256" s="13">
        <f>'Package Price Back Calcs'!G989-'Package Price Back Calcs'!G985</f>
        <v>3921.9490499999993</v>
      </c>
      <c r="E256" s="2"/>
      <c r="G256" s="2"/>
      <c r="H256" s="2"/>
    </row>
    <row r="257" spans="1:8" ht="17.399999999999999" x14ac:dyDescent="0.35">
      <c r="C257" s="28" t="s">
        <v>63</v>
      </c>
      <c r="D257" s="13">
        <f>'Package Price Back Calcs'!G993-'Package Price Back Calcs'!G985</f>
        <v>25614.199049999999</v>
      </c>
      <c r="E257" s="2"/>
      <c r="G257" s="2"/>
      <c r="H257" s="2"/>
    </row>
    <row r="258" spans="1:8" ht="18" thickBot="1" x14ac:dyDescent="0.4">
      <c r="C258" s="28" t="s">
        <v>64</v>
      </c>
      <c r="D258" s="13">
        <f>'Package Price Back Calcs'!G997-'Package Price Back Calcs'!G985</f>
        <v>33376.077550000002</v>
      </c>
      <c r="E258" s="2"/>
      <c r="G258" s="2"/>
      <c r="H258" s="2"/>
    </row>
    <row r="259" spans="1:8" ht="18" thickBot="1" x14ac:dyDescent="0.4">
      <c r="A259" t="s">
        <v>102</v>
      </c>
      <c r="B259" s="27" t="s">
        <v>103</v>
      </c>
      <c r="C259" s="28" t="s">
        <v>59</v>
      </c>
      <c r="D259" s="27" t="s">
        <v>103</v>
      </c>
      <c r="E259" s="27"/>
      <c r="G259" s="27"/>
      <c r="H259" s="27"/>
    </row>
    <row r="260" spans="1:8" ht="17.399999999999999" x14ac:dyDescent="0.35">
      <c r="C260" s="28" t="s">
        <v>61</v>
      </c>
      <c r="E260" s="2"/>
      <c r="G260" s="2"/>
      <c r="H260" s="2"/>
    </row>
    <row r="261" spans="1:8" ht="17.399999999999999" x14ac:dyDescent="0.35">
      <c r="C261" s="28" t="s">
        <v>62</v>
      </c>
      <c r="D261" s="13">
        <f>'Package Price Back Calcs'!G1074-'Package Price Back Calcs'!G1066</f>
        <v>6479.3937499999993</v>
      </c>
      <c r="E261" s="2"/>
      <c r="G261" s="2"/>
      <c r="H261" s="2"/>
    </row>
    <row r="262" spans="1:8" ht="17.399999999999999" x14ac:dyDescent="0.35">
      <c r="C262" s="28" t="s">
        <v>63</v>
      </c>
      <c r="D262" s="13">
        <f>'Package Price Back Calcs'!G1082-'Package Price Back Calcs'!G1066</f>
        <v>14284.843749999996</v>
      </c>
      <c r="E262" s="2"/>
      <c r="G262" s="2"/>
      <c r="H262" s="2"/>
    </row>
    <row r="263" spans="1:8" ht="18" thickBot="1" x14ac:dyDescent="0.4">
      <c r="C263" s="28" t="s">
        <v>64</v>
      </c>
      <c r="D263" s="13">
        <f>'Package Price Back Calcs'!G1090-'Package Price Back Calcs'!G1066</f>
        <v>20284.843749999996</v>
      </c>
      <c r="E263" s="2"/>
      <c r="G263" s="2"/>
      <c r="H263" s="2"/>
    </row>
    <row r="264" spans="1:8" ht="18" thickBot="1" x14ac:dyDescent="0.4">
      <c r="B264" s="27" t="s">
        <v>104</v>
      </c>
      <c r="C264" s="28" t="s">
        <v>59</v>
      </c>
      <c r="D264" s="27" t="s">
        <v>104</v>
      </c>
      <c r="E264" s="27"/>
      <c r="G264" s="27"/>
      <c r="H264" s="27"/>
    </row>
    <row r="265" spans="1:8" ht="17.399999999999999" x14ac:dyDescent="0.35">
      <c r="C265" s="28" t="s">
        <v>61</v>
      </c>
      <c r="E265" s="2"/>
      <c r="G265" s="2"/>
      <c r="H265" s="2"/>
    </row>
    <row r="266" spans="1:8" ht="17.399999999999999" x14ac:dyDescent="0.35">
      <c r="C266" s="28" t="s">
        <v>62</v>
      </c>
      <c r="D266" s="13">
        <f>'Package Price Back Calcs'!G1126-'Package Price Back Calcs'!G1110</f>
        <v>6301.946497170833</v>
      </c>
      <c r="E266" s="2"/>
      <c r="G266" s="2"/>
      <c r="H266" s="2"/>
    </row>
    <row r="267" spans="1:8" ht="17.399999999999999" x14ac:dyDescent="0.35">
      <c r="C267" s="28" t="s">
        <v>63</v>
      </c>
      <c r="D267" s="13">
        <f>'Package Price Back Calcs'!G1142-'Package Price Back Calcs'!G1110</f>
        <v>15397.538526014116</v>
      </c>
      <c r="E267" s="2"/>
      <c r="G267" s="2"/>
      <c r="H267" s="2"/>
    </row>
    <row r="268" spans="1:8" ht="18" thickBot="1" x14ac:dyDescent="0.4">
      <c r="C268" s="28" t="s">
        <v>64</v>
      </c>
      <c r="D268" s="13">
        <f>'Package Price Back Calcs'!G1158-'Package Price Back Calcs'!G1110</f>
        <v>20396.154048059117</v>
      </c>
      <c r="E268" s="2"/>
      <c r="G268" s="2"/>
      <c r="H268" s="2"/>
    </row>
    <row r="269" spans="1:8" ht="18" thickBot="1" x14ac:dyDescent="0.4">
      <c r="B269" s="27" t="s">
        <v>105</v>
      </c>
      <c r="C269" s="28" t="s">
        <v>59</v>
      </c>
      <c r="D269" s="27" t="s">
        <v>105</v>
      </c>
      <c r="E269" s="27"/>
      <c r="G269" s="27"/>
      <c r="H269" s="27"/>
    </row>
    <row r="270" spans="1:8" ht="17.399999999999999" x14ac:dyDescent="0.35">
      <c r="C270" s="28" t="s">
        <v>61</v>
      </c>
      <c r="E270" s="2"/>
      <c r="G270" s="2"/>
      <c r="H270" s="2"/>
    </row>
    <row r="271" spans="1:8" ht="17.399999999999999" x14ac:dyDescent="0.35">
      <c r="C271" s="28" t="s">
        <v>62</v>
      </c>
      <c r="D271" s="13">
        <f>'Package Price Back Calcs'!G1189-'Package Price Back Calcs'!G1176</f>
        <v>2105</v>
      </c>
      <c r="E271" s="2"/>
      <c r="G271" s="2"/>
      <c r="H271" s="2"/>
    </row>
    <row r="272" spans="1:8" ht="17.399999999999999" x14ac:dyDescent="0.35">
      <c r="C272" s="28" t="s">
        <v>63</v>
      </c>
      <c r="D272" s="13">
        <f>'Package Price Back Calcs'!G1202-'Package Price Back Calcs'!G1176</f>
        <v>6572.8958333333339</v>
      </c>
      <c r="E272" s="2"/>
      <c r="G272" s="2"/>
      <c r="H272" s="2"/>
    </row>
    <row r="273" spans="1:8" ht="18" thickBot="1" x14ac:dyDescent="0.4">
      <c r="C273" s="28" t="s">
        <v>64</v>
      </c>
      <c r="D273" s="13">
        <f>'Package Price Back Calcs'!G1215-'Package Price Back Calcs'!G1176</f>
        <v>11803.384404761904</v>
      </c>
      <c r="E273" s="2"/>
      <c r="G273" s="2"/>
      <c r="H273" s="2"/>
    </row>
    <row r="274" spans="1:8" ht="18" thickBot="1" x14ac:dyDescent="0.4">
      <c r="B274" s="27" t="s">
        <v>106</v>
      </c>
      <c r="C274" s="28" t="s">
        <v>59</v>
      </c>
      <c r="D274" s="27" t="s">
        <v>106</v>
      </c>
      <c r="E274" s="27"/>
      <c r="G274" s="27"/>
      <c r="H274" s="27"/>
    </row>
    <row r="275" spans="1:8" ht="17.399999999999999" x14ac:dyDescent="0.35">
      <c r="C275" s="28" t="s">
        <v>61</v>
      </c>
      <c r="E275" s="2"/>
      <c r="G275" s="2"/>
      <c r="H275" s="2"/>
    </row>
    <row r="276" spans="1:8" ht="17.399999999999999" x14ac:dyDescent="0.35">
      <c r="C276" s="28" t="s">
        <v>62</v>
      </c>
      <c r="D276" s="13">
        <f>'Package Price Back Calcs'!G1009-'Package Price Back Calcs'!G1005</f>
        <v>658.70875077951496</v>
      </c>
      <c r="E276" s="2"/>
      <c r="G276" s="2"/>
      <c r="H276" s="2"/>
    </row>
    <row r="277" spans="1:8" ht="17.399999999999999" x14ac:dyDescent="0.35">
      <c r="C277" s="28" t="s">
        <v>63</v>
      </c>
      <c r="D277" s="13">
        <f>'Package Price Back Calcs'!G1013-'Package Price Back Calcs'!G1005</f>
        <v>1536.9870851522028</v>
      </c>
      <c r="E277" s="2"/>
      <c r="G277" s="2"/>
      <c r="H277" s="2"/>
    </row>
    <row r="278" spans="1:8" ht="18" thickBot="1" x14ac:dyDescent="0.4">
      <c r="C278" s="28" t="s">
        <v>64</v>
      </c>
      <c r="D278" s="13">
        <f>'Package Price Back Calcs'!G1017-'Package Price Back Calcs'!G1005</f>
        <v>5097.9483406088102</v>
      </c>
      <c r="E278" s="2"/>
      <c r="G278" s="2"/>
      <c r="H278" s="2"/>
    </row>
    <row r="279" spans="1:8" ht="18" thickBot="1" x14ac:dyDescent="0.4">
      <c r="B279" s="27" t="s">
        <v>107</v>
      </c>
      <c r="C279" s="28" t="s">
        <v>59</v>
      </c>
      <c r="D279" s="27" t="str">
        <f>IF('Attributes Inputs and Outputs'!H22='Defaults and Ranges'!K38, 'Package Price Calculations'!B279, "N/A")</f>
        <v>N/A</v>
      </c>
      <c r="E279" s="27"/>
      <c r="G279" s="27"/>
      <c r="H279" s="27"/>
    </row>
    <row r="280" spans="1:8" ht="17.399999999999999" x14ac:dyDescent="0.35">
      <c r="C280" s="28" t="s">
        <v>61</v>
      </c>
      <c r="E280" s="2"/>
      <c r="G280" s="2"/>
      <c r="H280" s="2"/>
    </row>
    <row r="281" spans="1:8" ht="17.399999999999999" x14ac:dyDescent="0.35">
      <c r="C281" s="28" t="s">
        <v>62</v>
      </c>
      <c r="D281" s="13">
        <f>'Package Price Back Calcs'!G1227-'Package Price Back Calcs'!G1223</f>
        <v>6459.7999999999993</v>
      </c>
      <c r="E281" s="2"/>
      <c r="G281" s="2"/>
      <c r="H281" s="2"/>
    </row>
    <row r="282" spans="1:8" ht="17.399999999999999" x14ac:dyDescent="0.35">
      <c r="C282" s="28" t="s">
        <v>63</v>
      </c>
      <c r="D282" s="13">
        <f>'Package Price Back Calcs'!G1231-'Package Price Back Calcs'!G1223</f>
        <v>8479.9</v>
      </c>
      <c r="E282" s="2"/>
      <c r="G282" s="2"/>
      <c r="H282" s="2"/>
    </row>
    <row r="283" spans="1:8" ht="17.399999999999999" x14ac:dyDescent="0.35">
      <c r="C283" s="28" t="s">
        <v>64</v>
      </c>
      <c r="D283" s="13">
        <f>'Package Price Back Calcs'!G1235-'Package Price Back Calcs'!G1223</f>
        <v>25979.9</v>
      </c>
      <c r="E283" s="2"/>
      <c r="G283" s="2"/>
      <c r="H283" s="2"/>
    </row>
    <row r="284" spans="1:8" ht="18" thickBot="1" x14ac:dyDescent="0.4">
      <c r="C284" s="28" t="s">
        <v>55</v>
      </c>
      <c r="E284" s="2"/>
      <c r="G284" s="2"/>
      <c r="H284" s="2"/>
    </row>
    <row r="285" spans="1:8" ht="18" thickBot="1" x14ac:dyDescent="0.4">
      <c r="A285" t="s">
        <v>115</v>
      </c>
      <c r="B285" s="27" t="s">
        <v>29</v>
      </c>
      <c r="C285" s="28" t="s">
        <v>59</v>
      </c>
      <c r="D285" s="27" t="s">
        <v>29</v>
      </c>
      <c r="E285" s="27"/>
      <c r="G285" s="27"/>
      <c r="H285" s="27"/>
    </row>
    <row r="286" spans="1:8" ht="17.399999999999999" x14ac:dyDescent="0.35">
      <c r="C286" s="28" t="s">
        <v>61</v>
      </c>
      <c r="E286" s="2"/>
      <c r="G286" s="2"/>
      <c r="H286" s="2"/>
    </row>
    <row r="287" spans="1:8" ht="17.399999999999999" x14ac:dyDescent="0.35">
      <c r="C287" s="28" t="s">
        <v>62</v>
      </c>
      <c r="D287" s="13">
        <f>'Package Price Back Calcs'!G1390-'Package Price Back Calcs'!G1387</f>
        <v>4598</v>
      </c>
      <c r="E287" s="2"/>
      <c r="G287" s="2"/>
      <c r="H287" s="2"/>
    </row>
    <row r="288" spans="1:8" ht="17.399999999999999" x14ac:dyDescent="0.35">
      <c r="C288" s="28" t="s">
        <v>63</v>
      </c>
      <c r="D288" s="13">
        <f>'Package Price Back Calcs'!G1393-'Package Price Back Calcs'!G1387</f>
        <v>11495</v>
      </c>
      <c r="E288" s="2"/>
      <c r="G288" s="2"/>
      <c r="H288" s="2"/>
    </row>
    <row r="289" spans="2:8" ht="18" thickBot="1" x14ac:dyDescent="0.4">
      <c r="C289" s="28" t="s">
        <v>64</v>
      </c>
      <c r="D289" s="13">
        <f>'Package Price Back Calcs'!G1396-'Package Price Back Calcs'!G1387</f>
        <v>22990</v>
      </c>
      <c r="E289" s="2"/>
      <c r="G289" s="2"/>
      <c r="H289" s="2"/>
    </row>
    <row r="290" spans="2:8" ht="18" thickBot="1" x14ac:dyDescent="0.4">
      <c r="B290" s="27"/>
      <c r="C290" s="28" t="s">
        <v>59</v>
      </c>
      <c r="D290" s="27"/>
      <c r="E290" s="27"/>
      <c r="G290" s="27"/>
      <c r="H290" s="27"/>
    </row>
    <row r="291" spans="2:8" ht="17.399999999999999" x14ac:dyDescent="0.35">
      <c r="B291" s="28"/>
      <c r="C291" s="28" t="s">
        <v>61</v>
      </c>
      <c r="D291" s="28"/>
      <c r="E291" s="28"/>
      <c r="G291" s="28"/>
      <c r="H291" s="28"/>
    </row>
    <row r="292" spans="2:8" ht="17.399999999999999" x14ac:dyDescent="0.35">
      <c r="B292" s="28"/>
      <c r="C292" s="28" t="s">
        <v>62</v>
      </c>
      <c r="D292" s="28"/>
      <c r="E292" s="28"/>
      <c r="G292" s="28"/>
      <c r="H292" s="28"/>
    </row>
    <row r="293" spans="2:8" ht="17.399999999999999" x14ac:dyDescent="0.35">
      <c r="B293" s="28"/>
      <c r="C293" s="28" t="s">
        <v>63</v>
      </c>
      <c r="D293" s="28"/>
      <c r="E293" s="28"/>
      <c r="G293" s="28"/>
      <c r="H293" s="28"/>
    </row>
    <row r="294" spans="2:8" ht="18" thickBot="1" x14ac:dyDescent="0.4">
      <c r="C294" s="28" t="s">
        <v>64</v>
      </c>
      <c r="E294" s="2"/>
      <c r="G294" s="2"/>
      <c r="H294" s="2"/>
    </row>
    <row r="295" spans="2:8" ht="18" thickBot="1" x14ac:dyDescent="0.4">
      <c r="B295" s="27" t="s">
        <v>27</v>
      </c>
      <c r="C295" s="28" t="s">
        <v>59</v>
      </c>
      <c r="D295" s="27" t="str">
        <f>IF('Attributes Inputs and Outputs'!R8='Defaults and Ranges'!Z25, B295, "N/A")</f>
        <v>N/A</v>
      </c>
      <c r="E295" s="27"/>
      <c r="G295" s="27"/>
      <c r="H295" s="27"/>
    </row>
    <row r="296" spans="2:8" ht="17.399999999999999" x14ac:dyDescent="0.35">
      <c r="C296" s="28" t="s">
        <v>61</v>
      </c>
      <c r="D296" s="2"/>
      <c r="E296" s="2"/>
      <c r="F296" s="2"/>
      <c r="G296" s="2"/>
      <c r="H296" s="2"/>
    </row>
    <row r="297" spans="2:8" ht="17.399999999999999" x14ac:dyDescent="0.35">
      <c r="C297" s="28" t="s">
        <v>62</v>
      </c>
      <c r="D297" s="13">
        <f>'Package Price Back Calcs'!G1260-'Package Price Back Calcs'!G1257</f>
        <v>1000</v>
      </c>
    </row>
    <row r="298" spans="2:8" ht="17.399999999999999" x14ac:dyDescent="0.35">
      <c r="C298" s="28" t="s">
        <v>63</v>
      </c>
      <c r="D298" s="13">
        <f>'Package Price Back Calcs'!G1263-'Package Price Back Calcs'!G1257</f>
        <v>5000</v>
      </c>
    </row>
    <row r="299" spans="2:8" ht="18" thickBot="1" x14ac:dyDescent="0.4">
      <c r="C299" s="28" t="s">
        <v>64</v>
      </c>
      <c r="D299" s="13">
        <f>'Package Price Back Calcs'!G1266-'Package Price Back Calcs'!G1257</f>
        <v>9000</v>
      </c>
    </row>
    <row r="300" spans="2:8" ht="18" thickBot="1" x14ac:dyDescent="0.4">
      <c r="B300" s="27" t="s">
        <v>788</v>
      </c>
      <c r="C300" s="28" t="s">
        <v>59</v>
      </c>
      <c r="D300" s="27" t="str">
        <f>IF('Attributes Inputs and Outputs'!H21='Defaults and Ranges'!K37, B300, "N/A")</f>
        <v>N/A</v>
      </c>
    </row>
    <row r="301" spans="2:8" ht="17.399999999999999" x14ac:dyDescent="0.35">
      <c r="C301" s="28" t="s">
        <v>61</v>
      </c>
      <c r="D301" s="2"/>
    </row>
    <row r="302" spans="2:8" ht="17.399999999999999" x14ac:dyDescent="0.35">
      <c r="C302" s="28" t="s">
        <v>62</v>
      </c>
      <c r="D302" s="13">
        <f>'Package Price Back Calcs'!G1276-'Package Price Back Calcs'!G1273</f>
        <v>700</v>
      </c>
    </row>
    <row r="303" spans="2:8" ht="17.399999999999999" x14ac:dyDescent="0.35">
      <c r="C303" s="28" t="s">
        <v>63</v>
      </c>
      <c r="D303" s="13">
        <f>'Package Price Back Calcs'!G1279-'Package Price Back Calcs'!G1273</f>
        <v>1700</v>
      </c>
    </row>
    <row r="304" spans="2:8" ht="17.399999999999999" x14ac:dyDescent="0.35">
      <c r="C304" s="28" t="s">
        <v>64</v>
      </c>
      <c r="D304" s="13">
        <f>'Package Price Back Calcs'!G1282-'Package Price Back Calcs'!G1273</f>
        <v>1700</v>
      </c>
    </row>
    <row r="305" spans="3:3" ht="17.399999999999999" x14ac:dyDescent="0.35">
      <c r="C305" s="28"/>
    </row>
    <row r="306" spans="3:3" ht="17.399999999999999" x14ac:dyDescent="0.35">
      <c r="C306" s="28"/>
    </row>
    <row r="307" spans="3:3" ht="17.399999999999999" x14ac:dyDescent="0.35">
      <c r="C307" s="28"/>
    </row>
    <row r="308" spans="3:3" ht="17.399999999999999" x14ac:dyDescent="0.35">
      <c r="C308" s="28"/>
    </row>
    <row r="309" spans="3:3" ht="17.399999999999999" x14ac:dyDescent="0.35">
      <c r="C309" s="28"/>
    </row>
    <row r="310" spans="3:3" ht="17.399999999999999" x14ac:dyDescent="0.35">
      <c r="C310" s="28"/>
    </row>
    <row r="311" spans="3:3" ht="17.399999999999999" x14ac:dyDescent="0.35">
      <c r="C311" s="28"/>
    </row>
    <row r="312" spans="3:3" ht="17.399999999999999" x14ac:dyDescent="0.35">
      <c r="C312" s="28"/>
    </row>
    <row r="313" spans="3:3" ht="17.399999999999999" x14ac:dyDescent="0.35">
      <c r="C313" s="28"/>
    </row>
    <row r="314" spans="3:3" ht="17.399999999999999" x14ac:dyDescent="0.35">
      <c r="C314" s="28"/>
    </row>
    <row r="315" spans="3:3" ht="17.399999999999999" x14ac:dyDescent="0.35">
      <c r="C315" s="28"/>
    </row>
    <row r="316" spans="3:3" ht="17.399999999999999" x14ac:dyDescent="0.35">
      <c r="C316" s="28"/>
    </row>
    <row r="317" spans="3:3" ht="17.399999999999999" x14ac:dyDescent="0.35">
      <c r="C317" s="28"/>
    </row>
    <row r="318" spans="3:3" ht="17.399999999999999" x14ac:dyDescent="0.35">
      <c r="C318" s="28"/>
    </row>
    <row r="319" spans="3:3" ht="17.399999999999999" x14ac:dyDescent="0.35">
      <c r="C319" s="28"/>
    </row>
    <row r="320" spans="3:3" ht="17.399999999999999" x14ac:dyDescent="0.35">
      <c r="C320" s="28"/>
    </row>
  </sheetData>
  <mergeCells count="1">
    <mergeCell ref="J2:O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3:P1418"/>
  <sheetViews>
    <sheetView topLeftCell="A803" zoomScale="160" zoomScaleNormal="160" workbookViewId="0">
      <selection activeCell="B807" sqref="B807"/>
    </sheetView>
  </sheetViews>
  <sheetFormatPr defaultColWidth="8.88671875" defaultRowHeight="14.4" x14ac:dyDescent="0.3"/>
  <cols>
    <col min="1" max="1" width="43" bestFit="1" customWidth="1"/>
    <col min="2" max="2" width="110.109375" customWidth="1"/>
    <col min="3" max="3" width="25.88671875" bestFit="1" customWidth="1"/>
    <col min="4" max="4" width="20.6640625" bestFit="1" customWidth="1"/>
    <col min="5" max="5" width="22.33203125" bestFit="1" customWidth="1"/>
    <col min="6" max="7" width="21.88671875" bestFit="1" customWidth="1"/>
    <col min="8" max="8" width="9.6640625" bestFit="1" customWidth="1"/>
    <col min="9" max="9" width="31.109375" bestFit="1" customWidth="1"/>
    <col min="10" max="10" width="38.44140625" bestFit="1" customWidth="1"/>
    <col min="12" max="12" width="12" bestFit="1" customWidth="1"/>
    <col min="13" max="13" width="12.6640625" bestFit="1" customWidth="1"/>
    <col min="14" max="14" width="15" bestFit="1" customWidth="1"/>
    <col min="15" max="15" width="16.44140625" customWidth="1"/>
  </cols>
  <sheetData>
    <row r="3" spans="1:12" x14ac:dyDescent="0.3">
      <c r="B3" t="s">
        <v>116</v>
      </c>
      <c r="D3" t="s">
        <v>75</v>
      </c>
    </row>
    <row r="5" spans="1:12" x14ac:dyDescent="0.3">
      <c r="B5" s="45" t="s">
        <v>117</v>
      </c>
      <c r="C5" t="s">
        <v>118</v>
      </c>
      <c r="D5" t="s">
        <v>119</v>
      </c>
      <c r="E5" t="s">
        <v>118</v>
      </c>
    </row>
    <row r="6" spans="1:12" x14ac:dyDescent="0.3">
      <c r="B6">
        <v>2</v>
      </c>
      <c r="C6">
        <f>IF('Package Price Back Calcs'!B6&gt;'Attributes Inputs and Outputs'!$B$8, 0,1)</f>
        <v>1</v>
      </c>
      <c r="D6">
        <v>2</v>
      </c>
      <c r="E6">
        <f>IF('Package Price Back Calcs'!D6&gt;'Attributes Inputs and Outputs'!$C$8+0.6, 0,1)*IF(ROUNDUP('Attributes Inputs and Outputs'!C8,0)='Attributes Inputs and Outputs'!C8, 1, 0.5)</f>
        <v>1</v>
      </c>
    </row>
    <row r="7" spans="1:12" x14ac:dyDescent="0.3">
      <c r="A7" s="49" t="s">
        <v>120</v>
      </c>
      <c r="B7">
        <v>3</v>
      </c>
      <c r="C7">
        <f>IF('Package Price Back Calcs'!B7&gt;'Attributes Inputs and Outputs'!$B$8, 0,1)</f>
        <v>1</v>
      </c>
      <c r="D7">
        <v>3</v>
      </c>
      <c r="E7">
        <f>IF('Package Price Back Calcs'!D7&gt;'Attributes Inputs and Outputs'!$C$8+0.6, 0,1)</f>
        <v>1</v>
      </c>
    </row>
    <row r="8" spans="1:12" x14ac:dyDescent="0.3">
      <c r="B8">
        <v>4</v>
      </c>
      <c r="C8">
        <f>IF('Package Price Back Calcs'!B8&gt;'Attributes Inputs and Outputs'!$B$8, 0,1)</f>
        <v>0</v>
      </c>
      <c r="D8">
        <v>4</v>
      </c>
      <c r="E8">
        <f>IF('Package Price Back Calcs'!D8&gt;'Attributes Inputs and Outputs'!$C$8+0.6, 0,1)</f>
        <v>0</v>
      </c>
    </row>
    <row r="9" spans="1:12" x14ac:dyDescent="0.3">
      <c r="B9">
        <v>5</v>
      </c>
      <c r="C9">
        <f>IF('Package Price Back Calcs'!B9&gt;'Attributes Inputs and Outputs'!$B$8, 0,1)</f>
        <v>0</v>
      </c>
      <c r="D9">
        <v>5</v>
      </c>
      <c r="E9">
        <f>IF('Package Price Back Calcs'!D9&gt;'Attributes Inputs and Outputs'!$C$8+0.6, 0,1)</f>
        <v>0</v>
      </c>
    </row>
    <row r="10" spans="1:12" x14ac:dyDescent="0.3">
      <c r="B10">
        <v>6</v>
      </c>
      <c r="C10">
        <f>IF('Package Price Back Calcs'!B10&gt;'Attributes Inputs and Outputs'!$B$8, 0,1)</f>
        <v>0</v>
      </c>
      <c r="D10">
        <v>6</v>
      </c>
      <c r="E10">
        <f>IF('Package Price Back Calcs'!D10&gt;'Attributes Inputs and Outputs'!$C$8+0.6, 0,1)</f>
        <v>0</v>
      </c>
    </row>
    <row r="11" spans="1:12" x14ac:dyDescent="0.3">
      <c r="B11">
        <v>7</v>
      </c>
      <c r="C11">
        <f>IF('Package Price Back Calcs'!B11&gt;'Attributes Inputs and Outputs'!$B$8, 0,1)</f>
        <v>0</v>
      </c>
      <c r="D11">
        <v>7</v>
      </c>
      <c r="E11">
        <f>IF('Package Price Back Calcs'!D11&gt;'Attributes Inputs and Outputs'!$C$8+0.6, 0,1)</f>
        <v>0</v>
      </c>
    </row>
    <row r="12" spans="1:12" ht="15" thickBot="1" x14ac:dyDescent="0.35">
      <c r="B12">
        <v>8</v>
      </c>
      <c r="C12">
        <f>IF('Package Price Back Calcs'!B12&gt;'Attributes Inputs and Outputs'!$B$8, 0,1)</f>
        <v>0</v>
      </c>
      <c r="D12">
        <v>8</v>
      </c>
      <c r="E12">
        <f>IF('Package Price Back Calcs'!D12&gt;'Attributes Inputs and Outputs'!$C$8+0.6, 0,1)</f>
        <v>0</v>
      </c>
    </row>
    <row r="13" spans="1:12" x14ac:dyDescent="0.3">
      <c r="I13" s="77" t="s">
        <v>986</v>
      </c>
      <c r="J13" s="71"/>
      <c r="K13" s="71"/>
      <c r="L13" s="72"/>
    </row>
    <row r="14" spans="1:12" x14ac:dyDescent="0.3">
      <c r="D14" t="s">
        <v>121</v>
      </c>
      <c r="E14" t="s">
        <v>122</v>
      </c>
      <c r="I14" s="73" t="s">
        <v>985</v>
      </c>
      <c r="J14" t="s">
        <v>992</v>
      </c>
      <c r="L14" s="74"/>
    </row>
    <row r="15" spans="1:12" x14ac:dyDescent="0.3">
      <c r="B15" s="60" t="s">
        <v>116</v>
      </c>
      <c r="C15" t="s">
        <v>123</v>
      </c>
      <c r="D15">
        <v>250</v>
      </c>
      <c r="E15">
        <v>170</v>
      </c>
      <c r="I15" s="73" t="s">
        <v>61</v>
      </c>
      <c r="J15">
        <v>1</v>
      </c>
      <c r="L15" s="74"/>
    </row>
    <row r="16" spans="1:12" x14ac:dyDescent="0.3">
      <c r="A16" s="7" t="s">
        <v>61</v>
      </c>
      <c r="B16" t="s">
        <v>891</v>
      </c>
      <c r="C16">
        <v>0</v>
      </c>
      <c r="D16" s="13">
        <f>$C16</f>
        <v>0</v>
      </c>
      <c r="E16" s="13">
        <f>$C16</f>
        <v>0</v>
      </c>
      <c r="F16" s="13"/>
      <c r="G16" s="13"/>
      <c r="I16" s="73" t="s">
        <v>63</v>
      </c>
      <c r="J16">
        <f>4+2+1</f>
        <v>7</v>
      </c>
      <c r="L16" s="74"/>
    </row>
    <row r="17" spans="1:12" x14ac:dyDescent="0.3">
      <c r="A17" s="13" t="s">
        <v>221</v>
      </c>
      <c r="B17" t="s">
        <v>584</v>
      </c>
      <c r="C17" s="14">
        <v>2</v>
      </c>
      <c r="D17" s="13">
        <f>$C17*D$15</f>
        <v>500</v>
      </c>
      <c r="E17" s="13">
        <f>$C17*E$15</f>
        <v>340</v>
      </c>
      <c r="F17" s="13"/>
      <c r="G17" s="13"/>
      <c r="I17" s="73" t="s">
        <v>113</v>
      </c>
      <c r="J17">
        <v>0</v>
      </c>
      <c r="L17" s="74"/>
    </row>
    <row r="18" spans="1:12" x14ac:dyDescent="0.3">
      <c r="A18" t="s">
        <v>146</v>
      </c>
      <c r="B18" t="s">
        <v>125</v>
      </c>
      <c r="C18" s="13">
        <v>100</v>
      </c>
      <c r="D18" s="13">
        <f>$C18</f>
        <v>100</v>
      </c>
      <c r="E18" s="13">
        <f>$C18</f>
        <v>100</v>
      </c>
      <c r="F18" s="13"/>
      <c r="G18" s="13"/>
      <c r="I18" s="73" t="s">
        <v>64</v>
      </c>
      <c r="J18">
        <f>10+2+1</f>
        <v>13</v>
      </c>
      <c r="L18" s="74"/>
    </row>
    <row r="19" spans="1:12" x14ac:dyDescent="0.3">
      <c r="A19" t="s">
        <v>1363</v>
      </c>
      <c r="B19" t="s">
        <v>126</v>
      </c>
      <c r="C19" s="13">
        <v>0</v>
      </c>
      <c r="D19" s="13">
        <f>$C19</f>
        <v>0</v>
      </c>
      <c r="E19" s="13">
        <f>$C19</f>
        <v>0</v>
      </c>
      <c r="F19" s="13"/>
      <c r="G19" s="13"/>
      <c r="I19" s="73" t="s">
        <v>62</v>
      </c>
      <c r="J19">
        <v>5</v>
      </c>
      <c r="L19" s="74"/>
    </row>
    <row r="20" spans="1:12" x14ac:dyDescent="0.3">
      <c r="A20" t="s">
        <v>1278</v>
      </c>
      <c r="B20" t="s">
        <v>1279</v>
      </c>
      <c r="C20" s="13"/>
      <c r="D20" s="13">
        <v>1200</v>
      </c>
      <c r="E20" s="13">
        <v>300</v>
      </c>
      <c r="F20" s="13"/>
      <c r="G20" s="13"/>
      <c r="I20" s="73"/>
      <c r="L20" s="74"/>
    </row>
    <row r="21" spans="1:12" x14ac:dyDescent="0.3">
      <c r="C21" s="39" t="s">
        <v>127</v>
      </c>
      <c r="D21" s="40">
        <f>SUM(D16:D20)</f>
        <v>1800</v>
      </c>
      <c r="E21" s="40">
        <f>SUM(E16:E20)</f>
        <v>740</v>
      </c>
      <c r="F21" s="40"/>
      <c r="G21" s="40"/>
      <c r="I21" s="73"/>
      <c r="L21" s="74"/>
    </row>
    <row r="22" spans="1:12" x14ac:dyDescent="0.3">
      <c r="A22" s="7" t="s">
        <v>62</v>
      </c>
      <c r="B22" t="s">
        <v>891</v>
      </c>
      <c r="C22" s="13">
        <v>50</v>
      </c>
      <c r="D22" s="13">
        <f>$C22</f>
        <v>50</v>
      </c>
      <c r="E22" s="13">
        <f>$C22</f>
        <v>50</v>
      </c>
      <c r="F22" s="13"/>
      <c r="G22" s="13"/>
      <c r="I22" s="78" t="s">
        <v>987</v>
      </c>
      <c r="J22" s="7" t="s">
        <v>988</v>
      </c>
      <c r="K22" s="7" t="s">
        <v>989</v>
      </c>
      <c r="L22" s="84" t="s">
        <v>999</v>
      </c>
    </row>
    <row r="23" spans="1:12" x14ac:dyDescent="0.3">
      <c r="A23" s="13" t="s">
        <v>221</v>
      </c>
      <c r="B23" t="s">
        <v>128</v>
      </c>
      <c r="C23" s="14">
        <f>Inputs!C70</f>
        <v>2.8</v>
      </c>
      <c r="D23" s="13">
        <f>$C23*D$15</f>
        <v>700</v>
      </c>
      <c r="E23" s="13">
        <f>$C23*E$15</f>
        <v>475.99999999999994</v>
      </c>
      <c r="F23" s="13"/>
      <c r="G23" s="13"/>
      <c r="I23" s="73">
        <v>1</v>
      </c>
      <c r="J23" t="str">
        <f>IF(NOT('Packages Inputs and Outputs'!D9="n/a"), 'Packages Inputs and Outputs'!E9, "N/A")</f>
        <v>silver</v>
      </c>
      <c r="K23">
        <f t="shared" ref="K23:K30" si="0">LOOKUP(J23,$I$15:$I$19,$J$15:$J$19)</f>
        <v>5</v>
      </c>
      <c r="L23" s="74">
        <f>IF(OR(J23=$I$16, J23=$I$18), 4, 2)</f>
        <v>2</v>
      </c>
    </row>
    <row r="24" spans="1:12" x14ac:dyDescent="0.3">
      <c r="A24" t="s">
        <v>178</v>
      </c>
      <c r="B24" t="s">
        <v>129</v>
      </c>
      <c r="C24" s="13">
        <v>2</v>
      </c>
      <c r="D24" s="13">
        <f>$C24*D$15</f>
        <v>500</v>
      </c>
      <c r="E24" s="13">
        <f>$C24*E$15</f>
        <v>340</v>
      </c>
      <c r="F24" s="13"/>
      <c r="G24" s="13"/>
      <c r="I24" s="73">
        <f t="shared" ref="I24:I30" si="1">I23+1</f>
        <v>2</v>
      </c>
      <c r="J24" t="str">
        <f>IF(NOT('Packages Inputs and Outputs'!D10="n/a"), 'Packages Inputs and Outputs'!E10, "N/A")</f>
        <v>silver</v>
      </c>
      <c r="K24">
        <f t="shared" si="0"/>
        <v>5</v>
      </c>
      <c r="L24" s="74">
        <f t="shared" ref="L24:L30" si="2">IF(OR(J24=$I$16, J24=$I$18), 1, 0)</f>
        <v>0</v>
      </c>
    </row>
    <row r="25" spans="1:12" x14ac:dyDescent="0.3">
      <c r="A25" t="s">
        <v>146</v>
      </c>
      <c r="B25" t="s">
        <v>890</v>
      </c>
      <c r="C25" s="13">
        <f>200+125*4</f>
        <v>700</v>
      </c>
      <c r="D25" s="13">
        <f>$C25</f>
        <v>700</v>
      </c>
      <c r="E25" s="13">
        <f>$C25</f>
        <v>700</v>
      </c>
      <c r="F25" s="13"/>
      <c r="G25" s="13"/>
      <c r="I25" s="73">
        <f t="shared" si="1"/>
        <v>3</v>
      </c>
      <c r="J25" t="str">
        <f>IF(NOT('Packages Inputs and Outputs'!D11="n/a"), 'Packages Inputs and Outputs'!E11, "N/A")</f>
        <v>Platinum</v>
      </c>
      <c r="K25">
        <f t="shared" si="0"/>
        <v>13</v>
      </c>
      <c r="L25" s="74">
        <f t="shared" si="2"/>
        <v>1</v>
      </c>
    </row>
    <row r="26" spans="1:12" x14ac:dyDescent="0.3">
      <c r="A26" t="s">
        <v>1363</v>
      </c>
      <c r="B26" t="s">
        <v>126</v>
      </c>
      <c r="C26" s="13">
        <v>0</v>
      </c>
      <c r="D26" s="13">
        <f>$C26</f>
        <v>0</v>
      </c>
      <c r="E26" s="13">
        <f>$C26</f>
        <v>0</v>
      </c>
      <c r="F26" s="13"/>
      <c r="G26" s="13"/>
      <c r="I26" s="73">
        <f t="shared" si="1"/>
        <v>4</v>
      </c>
      <c r="J26" t="str">
        <f>IF(NOT('Packages Inputs and Outputs'!D12="n/a"), 'Packages Inputs and Outputs'!E12, "N/A")</f>
        <v>N/A</v>
      </c>
      <c r="K26">
        <f t="shared" si="0"/>
        <v>0</v>
      </c>
      <c r="L26" s="74">
        <f t="shared" si="2"/>
        <v>0</v>
      </c>
    </row>
    <row r="27" spans="1:12" x14ac:dyDescent="0.3">
      <c r="A27" t="s">
        <v>1278</v>
      </c>
      <c r="B27" t="s">
        <v>1282</v>
      </c>
      <c r="C27" s="13"/>
      <c r="D27" s="13">
        <v>3000</v>
      </c>
      <c r="E27" s="13">
        <v>900</v>
      </c>
      <c r="F27" s="13"/>
      <c r="G27" s="13"/>
      <c r="I27" s="73">
        <f t="shared" si="1"/>
        <v>5</v>
      </c>
      <c r="J27" t="str">
        <f>IF(NOT('Packages Inputs and Outputs'!D13="n/a"), 'Packages Inputs and Outputs'!E13, "N/A")</f>
        <v>N/A</v>
      </c>
      <c r="K27">
        <f t="shared" si="0"/>
        <v>0</v>
      </c>
      <c r="L27" s="74">
        <f t="shared" si="2"/>
        <v>0</v>
      </c>
    </row>
    <row r="28" spans="1:12" x14ac:dyDescent="0.3">
      <c r="C28" s="39" t="s">
        <v>130</v>
      </c>
      <c r="D28" s="40">
        <f>SUM(D22:D27)</f>
        <v>4950</v>
      </c>
      <c r="E28" s="40">
        <f>SUM(E22:E27)</f>
        <v>2466</v>
      </c>
      <c r="F28" s="40"/>
      <c r="G28" s="40"/>
      <c r="I28" s="73">
        <f t="shared" si="1"/>
        <v>6</v>
      </c>
      <c r="J28" t="str">
        <f>IF(NOT('Packages Inputs and Outputs'!D14="n/a"), 'Packages Inputs and Outputs'!E14, "N/A")</f>
        <v>N/A</v>
      </c>
      <c r="K28">
        <f t="shared" si="0"/>
        <v>0</v>
      </c>
      <c r="L28" s="74">
        <f t="shared" si="2"/>
        <v>0</v>
      </c>
    </row>
    <row r="29" spans="1:12" x14ac:dyDescent="0.3">
      <c r="A29" s="7" t="s">
        <v>63</v>
      </c>
      <c r="B29" t="s">
        <v>131</v>
      </c>
      <c r="C29" s="13">
        <f>50+200*11</f>
        <v>2250</v>
      </c>
      <c r="D29" s="13">
        <f>$C29</f>
        <v>2250</v>
      </c>
      <c r="E29" s="13">
        <f>$C29</f>
        <v>2250</v>
      </c>
      <c r="F29" s="13"/>
      <c r="G29" s="13"/>
      <c r="I29" s="73">
        <f t="shared" si="1"/>
        <v>7</v>
      </c>
      <c r="J29" t="str">
        <f>IF(NOT('Packages Inputs and Outputs'!D15="n/a"), 'Packages Inputs and Outputs'!E15, "N/A")</f>
        <v>N/A</v>
      </c>
      <c r="K29">
        <f t="shared" si="0"/>
        <v>0</v>
      </c>
      <c r="L29" s="74">
        <f t="shared" si="2"/>
        <v>0</v>
      </c>
    </row>
    <row r="30" spans="1:12" x14ac:dyDescent="0.3">
      <c r="A30" s="13" t="s">
        <v>221</v>
      </c>
      <c r="B30" t="s">
        <v>1379</v>
      </c>
      <c r="C30" s="13">
        <v>9</v>
      </c>
      <c r="D30" s="13">
        <f>$C30*D$15</f>
        <v>2250</v>
      </c>
      <c r="E30" s="13">
        <f>$C30*E$15</f>
        <v>1530</v>
      </c>
      <c r="F30" s="13"/>
      <c r="G30" s="13"/>
      <c r="I30" s="73">
        <f t="shared" si="1"/>
        <v>8</v>
      </c>
      <c r="J30" t="str">
        <f>IF(NOT('Packages Inputs and Outputs'!D16="n/a"), 'Packages Inputs and Outputs'!E16, "N/A")</f>
        <v>N/A</v>
      </c>
      <c r="K30">
        <f t="shared" si="0"/>
        <v>0</v>
      </c>
      <c r="L30" s="74">
        <f t="shared" si="2"/>
        <v>0</v>
      </c>
    </row>
    <row r="31" spans="1:12" x14ac:dyDescent="0.3">
      <c r="A31" t="s">
        <v>1364</v>
      </c>
      <c r="B31" t="s">
        <v>703</v>
      </c>
      <c r="C31" s="13">
        <v>3.5</v>
      </c>
      <c r="D31" s="13">
        <f>$C31*D$15</f>
        <v>875</v>
      </c>
      <c r="E31" s="13">
        <f>$C31*E$15</f>
        <v>595</v>
      </c>
      <c r="F31" s="13"/>
      <c r="G31" s="13"/>
    </row>
    <row r="32" spans="1:12" x14ac:dyDescent="0.3">
      <c r="A32" t="s">
        <v>146</v>
      </c>
      <c r="B32" t="s">
        <v>996</v>
      </c>
      <c r="C32" s="13">
        <v>1000</v>
      </c>
      <c r="D32" s="13">
        <f>$C32</f>
        <v>1000</v>
      </c>
      <c r="E32" s="13">
        <f>$C32</f>
        <v>1000</v>
      </c>
      <c r="F32" s="13"/>
      <c r="G32" s="13"/>
      <c r="I32" s="73"/>
      <c r="L32" s="74"/>
    </row>
    <row r="33" spans="1:12" ht="15" thickBot="1" x14ac:dyDescent="0.35">
      <c r="A33" t="s">
        <v>222</v>
      </c>
      <c r="B33" t="s">
        <v>1408</v>
      </c>
      <c r="C33" s="13">
        <f>4000+2500</f>
        <v>6500</v>
      </c>
      <c r="D33" s="13">
        <f>C33</f>
        <v>6500</v>
      </c>
      <c r="E33" s="13">
        <f>C33</f>
        <v>6500</v>
      </c>
      <c r="F33" s="13"/>
      <c r="G33" s="13"/>
      <c r="I33" s="75"/>
      <c r="J33" s="79" t="s">
        <v>990</v>
      </c>
      <c r="K33" s="79">
        <f>SUM(K23:K30)</f>
        <v>23</v>
      </c>
      <c r="L33" s="80">
        <f>SUM(L23:L30)</f>
        <v>3</v>
      </c>
    </row>
    <row r="34" spans="1:12" x14ac:dyDescent="0.3">
      <c r="A34" t="s">
        <v>1363</v>
      </c>
      <c r="B34" t="s">
        <v>132</v>
      </c>
      <c r="C34" s="13">
        <f>150*(1+IF('Packages Inputs and Outputs'!E43=Inputs!C54, Inputs!C55, IF('Packages Inputs and Outputs'!E43=Inputs!D54, Inputs!D55, IF('Packages Inputs and Outputs'!E43=Inputs!E54, Inputs!E55, Inputs!F55))))</f>
        <v>165</v>
      </c>
      <c r="D34" s="13">
        <f>$C34*D$15/60</f>
        <v>687.5</v>
      </c>
      <c r="E34" s="13">
        <f>$C34*E$15/60</f>
        <v>467.5</v>
      </c>
      <c r="F34" s="13"/>
      <c r="G34" s="13"/>
    </row>
    <row r="35" spans="1:12" x14ac:dyDescent="0.3">
      <c r="A35" t="s">
        <v>1278</v>
      </c>
      <c r="B35" t="s">
        <v>1280</v>
      </c>
      <c r="C35" s="13"/>
      <c r="D35" s="13">
        <v>4500</v>
      </c>
      <c r="E35" s="13">
        <v>2500</v>
      </c>
      <c r="F35" s="13"/>
      <c r="G35" s="13"/>
    </row>
    <row r="36" spans="1:12" x14ac:dyDescent="0.3">
      <c r="C36" s="39" t="s">
        <v>133</v>
      </c>
      <c r="D36" s="40">
        <f>SUM(D29:D35)</f>
        <v>18062.5</v>
      </c>
      <c r="E36" s="40">
        <f>SUM(E29:E35)</f>
        <v>14842.5</v>
      </c>
      <c r="F36" s="40"/>
      <c r="G36" s="40"/>
    </row>
    <row r="37" spans="1:12" x14ac:dyDescent="0.3">
      <c r="A37" s="7" t="s">
        <v>64</v>
      </c>
      <c r="B37" t="s">
        <v>134</v>
      </c>
      <c r="C37" s="13">
        <f>50+200*23</f>
        <v>4650</v>
      </c>
      <c r="D37" s="13">
        <f>$C37</f>
        <v>4650</v>
      </c>
      <c r="E37" s="13">
        <f>$C37</f>
        <v>4650</v>
      </c>
      <c r="F37" s="13"/>
      <c r="G37" s="13"/>
    </row>
    <row r="38" spans="1:12" x14ac:dyDescent="0.3">
      <c r="A38" s="13" t="s">
        <v>221</v>
      </c>
      <c r="B38" t="s">
        <v>1380</v>
      </c>
      <c r="C38" s="13">
        <v>17</v>
      </c>
      <c r="D38" s="13">
        <f>$C38*D$15</f>
        <v>4250</v>
      </c>
      <c r="E38" s="13">
        <f>$C38*E$15</f>
        <v>2890</v>
      </c>
      <c r="F38" s="13"/>
      <c r="G38" s="13"/>
    </row>
    <row r="39" spans="1:12" x14ac:dyDescent="0.3">
      <c r="A39" t="s">
        <v>1364</v>
      </c>
      <c r="B39" t="s">
        <v>135</v>
      </c>
      <c r="C39" s="37">
        <v>8</v>
      </c>
      <c r="D39" s="13">
        <f>$C39*D$15</f>
        <v>2000</v>
      </c>
      <c r="E39" s="13">
        <f>$C39*E$15</f>
        <v>1360</v>
      </c>
      <c r="F39" s="13"/>
      <c r="G39" s="13"/>
    </row>
    <row r="40" spans="1:12" x14ac:dyDescent="0.3">
      <c r="A40" t="s">
        <v>146</v>
      </c>
      <c r="B40" t="s">
        <v>997</v>
      </c>
      <c r="C40" s="13">
        <v>3000</v>
      </c>
      <c r="D40" s="13">
        <f>$C40</f>
        <v>3000</v>
      </c>
      <c r="E40" s="13">
        <f>$C40</f>
        <v>3000</v>
      </c>
      <c r="F40" s="13"/>
      <c r="G40" s="13"/>
    </row>
    <row r="41" spans="1:12" x14ac:dyDescent="0.3">
      <c r="A41" t="s">
        <v>222</v>
      </c>
      <c r="B41" t="s">
        <v>1409</v>
      </c>
      <c r="C41" s="13">
        <f>6000+3000</f>
        <v>9000</v>
      </c>
      <c r="D41" s="13">
        <f>C41</f>
        <v>9000</v>
      </c>
      <c r="E41" s="13">
        <f>D41</f>
        <v>9000</v>
      </c>
      <c r="F41" s="13"/>
      <c r="G41" s="13"/>
    </row>
    <row r="42" spans="1:12" x14ac:dyDescent="0.3">
      <c r="A42" t="s">
        <v>1363</v>
      </c>
      <c r="B42" t="s">
        <v>136</v>
      </c>
      <c r="C42" s="13">
        <f>300*(1+IF('Packages Inputs and Outputs'!E43=Inputs!C54, Inputs!C55, IF('Packages Inputs and Outputs'!E43=Inputs!D54, Inputs!D55, IF('Packages Inputs and Outputs'!E43=Inputs!E54, Inputs!E55, Inputs!F55))))</f>
        <v>330</v>
      </c>
      <c r="D42" s="13">
        <f>$C42*D$15/60</f>
        <v>1375</v>
      </c>
      <c r="E42" s="13">
        <f>$C42*E$15/60</f>
        <v>935</v>
      </c>
      <c r="F42" s="13"/>
      <c r="G42" s="13"/>
    </row>
    <row r="43" spans="1:12" x14ac:dyDescent="0.3">
      <c r="A43" t="s">
        <v>1278</v>
      </c>
      <c r="B43" t="s">
        <v>1281</v>
      </c>
      <c r="C43" s="13"/>
      <c r="D43" s="13">
        <v>10000</v>
      </c>
      <c r="E43" s="13">
        <v>8000</v>
      </c>
      <c r="F43" s="13"/>
      <c r="G43" s="13"/>
    </row>
    <row r="44" spans="1:12" x14ac:dyDescent="0.3">
      <c r="C44" s="39" t="s">
        <v>137</v>
      </c>
      <c r="D44" s="40">
        <f>SUM(D37:D43)</f>
        <v>34275</v>
      </c>
      <c r="E44" s="40">
        <f>SUM(E37:E43)</f>
        <v>29835</v>
      </c>
      <c r="F44" s="40"/>
      <c r="G44" s="40"/>
    </row>
    <row r="46" spans="1:12" ht="15" thickBot="1" x14ac:dyDescent="0.35">
      <c r="E46" t="s">
        <v>1411</v>
      </c>
      <c r="F46" t="s">
        <v>1412</v>
      </c>
      <c r="G46" t="s">
        <v>600</v>
      </c>
    </row>
    <row r="47" spans="1:12" x14ac:dyDescent="0.3">
      <c r="B47" s="60" t="s">
        <v>138</v>
      </c>
      <c r="D47" t="s">
        <v>1413</v>
      </c>
      <c r="E47">
        <v>100</v>
      </c>
      <c r="F47">
        <v>50</v>
      </c>
      <c r="G47">
        <v>30</v>
      </c>
      <c r="I47" s="77" t="s">
        <v>986</v>
      </c>
      <c r="J47" s="71"/>
      <c r="K47" s="72"/>
    </row>
    <row r="48" spans="1:12" x14ac:dyDescent="0.3">
      <c r="A48" s="7" t="s">
        <v>61</v>
      </c>
      <c r="D48" t="s">
        <v>1410</v>
      </c>
      <c r="E48" s="11">
        <f>E47+'Attributes Back Calcs'!G10/40</f>
        <v>157.47499999999999</v>
      </c>
      <c r="F48" s="11">
        <f>F47+'Attributes Back Calcs'!G10/140</f>
        <v>66.421428571428578</v>
      </c>
      <c r="G48" s="11">
        <f>G47+'Attributes Back Calcs'!G10/400</f>
        <v>35.747500000000002</v>
      </c>
      <c r="I48" s="73" t="s">
        <v>991</v>
      </c>
      <c r="J48" t="s">
        <v>992</v>
      </c>
      <c r="K48" s="74"/>
    </row>
    <row r="49" spans="1:11" x14ac:dyDescent="0.3">
      <c r="A49" s="13" t="s">
        <v>140</v>
      </c>
      <c r="B49" t="s">
        <v>1378</v>
      </c>
      <c r="D49" s="13">
        <f>2+1+10</f>
        <v>13</v>
      </c>
      <c r="E49" s="13">
        <f>$D49*E$48</f>
        <v>2047.175</v>
      </c>
      <c r="F49" s="13">
        <f>$D49*F$48</f>
        <v>863.47857142857151</v>
      </c>
      <c r="G49" s="13"/>
      <c r="I49" s="73" t="s">
        <v>61</v>
      </c>
      <c r="J49">
        <v>1</v>
      </c>
      <c r="K49" s="74"/>
    </row>
    <row r="50" spans="1:11" x14ac:dyDescent="0.3">
      <c r="A50" t="s">
        <v>141</v>
      </c>
      <c r="B50" t="s">
        <v>142</v>
      </c>
      <c r="C50" s="13">
        <v>0</v>
      </c>
      <c r="E50" s="13">
        <f>$C50</f>
        <v>0</v>
      </c>
      <c r="F50" s="13">
        <f>$C50</f>
        <v>0</v>
      </c>
      <c r="G50" s="13">
        <f>$C50</f>
        <v>0</v>
      </c>
      <c r="I50" s="73" t="s">
        <v>63</v>
      </c>
      <c r="J50">
        <v>4</v>
      </c>
      <c r="K50" s="74"/>
    </row>
    <row r="51" spans="1:11" x14ac:dyDescent="0.3">
      <c r="A51" t="s">
        <v>143</v>
      </c>
      <c r="B51" t="s">
        <v>144</v>
      </c>
      <c r="C51" s="13">
        <v>1000</v>
      </c>
      <c r="D51" s="13"/>
      <c r="E51" s="13">
        <f>C51*2+C51*0.25*E48/E47</f>
        <v>2393.6875</v>
      </c>
      <c r="F51" s="13">
        <f>C51+C51*0.25*F48/F47</f>
        <v>1332.1071428571429</v>
      </c>
      <c r="G51" s="13">
        <f>C51+C51*0.25*G48/G47</f>
        <v>1297.8958333333333</v>
      </c>
      <c r="I51" s="73" t="s">
        <v>113</v>
      </c>
      <c r="J51">
        <v>0</v>
      </c>
      <c r="K51" s="74"/>
    </row>
    <row r="52" spans="1:11" x14ac:dyDescent="0.3">
      <c r="A52" t="s">
        <v>1291</v>
      </c>
      <c r="B52" t="s">
        <v>145</v>
      </c>
      <c r="C52" s="13">
        <f>1000+160</f>
        <v>1160</v>
      </c>
      <c r="D52" s="13">
        <v>9</v>
      </c>
      <c r="E52" s="13">
        <f>$C52+$D52*8*14</f>
        <v>2168</v>
      </c>
      <c r="F52" s="13">
        <f>$C52+$D52*8*11</f>
        <v>1952</v>
      </c>
      <c r="G52" s="13">
        <v>0</v>
      </c>
      <c r="I52" s="73" t="s">
        <v>64</v>
      </c>
      <c r="J52">
        <v>4</v>
      </c>
      <c r="K52" s="74"/>
    </row>
    <row r="53" spans="1:11" x14ac:dyDescent="0.3">
      <c r="A53" t="s">
        <v>656</v>
      </c>
      <c r="B53" t="s">
        <v>704</v>
      </c>
      <c r="C53" s="13">
        <v>0</v>
      </c>
      <c r="D53" s="13">
        <v>0</v>
      </c>
      <c r="E53" s="13">
        <f>$C53+$D53*E$48</f>
        <v>0</v>
      </c>
      <c r="F53" s="13">
        <f>$C53+$D53*F$48</f>
        <v>0</v>
      </c>
      <c r="G53" s="13">
        <f>$C53+$D53*G$48</f>
        <v>0</v>
      </c>
      <c r="I53" s="73" t="s">
        <v>62</v>
      </c>
      <c r="J53">
        <v>3</v>
      </c>
      <c r="K53" s="74"/>
    </row>
    <row r="54" spans="1:11" x14ac:dyDescent="0.3">
      <c r="A54" t="s">
        <v>146</v>
      </c>
      <c r="B54" t="s">
        <v>147</v>
      </c>
      <c r="C54" s="13">
        <v>100</v>
      </c>
      <c r="D54" s="13"/>
      <c r="E54" s="13">
        <f>C54*2</f>
        <v>200</v>
      </c>
      <c r="F54" s="13">
        <f>C54</f>
        <v>100</v>
      </c>
      <c r="G54" s="13">
        <f>C54</f>
        <v>100</v>
      </c>
      <c r="I54" s="73"/>
      <c r="K54" s="74"/>
    </row>
    <row r="55" spans="1:11" x14ac:dyDescent="0.3">
      <c r="A55" t="s">
        <v>1436</v>
      </c>
      <c r="B55" t="s">
        <v>1437</v>
      </c>
      <c r="C55" s="13">
        <v>550</v>
      </c>
      <c r="D55" s="13"/>
      <c r="E55" s="13">
        <f>$C55</f>
        <v>550</v>
      </c>
      <c r="F55" s="13">
        <f>$C55</f>
        <v>550</v>
      </c>
      <c r="G55" s="13">
        <f>$C55</f>
        <v>550</v>
      </c>
      <c r="I55" s="73" t="s">
        <v>993</v>
      </c>
      <c r="J55" t="s">
        <v>988</v>
      </c>
      <c r="K55" s="74" t="s">
        <v>989</v>
      </c>
    </row>
    <row r="56" spans="1:11" x14ac:dyDescent="0.3">
      <c r="D56" s="39" t="s">
        <v>127</v>
      </c>
      <c r="E56" s="40">
        <f>SUM(E49:E55)</f>
        <v>7358.8625000000002</v>
      </c>
      <c r="F56" s="40">
        <f>SUM(F49:F55)</f>
        <v>4797.5857142857149</v>
      </c>
      <c r="G56" s="40">
        <f>SUM(G49:G55)</f>
        <v>1947.8958333333333</v>
      </c>
      <c r="I56" s="81" t="s">
        <v>76</v>
      </c>
      <c r="J56" t="str">
        <f>IF(NOT('Packages Inputs and Outputs'!D17="n/a"), 'Packages Inputs and Outputs'!E17, "N/A")</f>
        <v>silver</v>
      </c>
      <c r="K56" s="74">
        <f>LOOKUP(J56,$I$49:$I$53,$J$49:$J$53)*2</f>
        <v>6</v>
      </c>
    </row>
    <row r="57" spans="1:11" x14ac:dyDescent="0.3">
      <c r="A57" s="7" t="s">
        <v>62</v>
      </c>
      <c r="C57" s="13"/>
      <c r="D57" s="13"/>
      <c r="E57" s="13"/>
      <c r="F57" s="13"/>
      <c r="G57" s="13"/>
      <c r="I57" s="81" t="s">
        <v>600</v>
      </c>
      <c r="J57" t="str">
        <f>IF(NOT('Packages Inputs and Outputs'!D18="n/a"), 'Packages Inputs and Outputs'!E18, "N/A")</f>
        <v>N/A</v>
      </c>
      <c r="K57" s="74">
        <f t="shared" ref="K57:K64" si="3">LOOKUP(J57,$I$49:$I$53,$J$49:$J$53)</f>
        <v>0</v>
      </c>
    </row>
    <row r="58" spans="1:11" x14ac:dyDescent="0.3">
      <c r="A58" s="13" t="s">
        <v>140</v>
      </c>
      <c r="B58" t="s">
        <v>1365</v>
      </c>
      <c r="C58" s="13"/>
      <c r="D58" s="13">
        <f>7+10</f>
        <v>17</v>
      </c>
      <c r="E58" s="13">
        <f>$D58*E$48</f>
        <v>2677.0749999999998</v>
      </c>
      <c r="F58" s="13">
        <f>$D58*F$48</f>
        <v>1129.1642857142858</v>
      </c>
      <c r="G58" s="13"/>
      <c r="I58" s="81" t="s">
        <v>77</v>
      </c>
      <c r="J58" t="str">
        <f>IF(NOT('Packages Inputs and Outputs'!D19="n/a"), 'Packages Inputs and Outputs'!E19, "N/A")</f>
        <v>silver</v>
      </c>
      <c r="K58" s="74">
        <f t="shared" si="3"/>
        <v>3</v>
      </c>
    </row>
    <row r="59" spans="1:11" x14ac:dyDescent="0.3">
      <c r="A59" t="s">
        <v>141</v>
      </c>
      <c r="B59" t="s">
        <v>148</v>
      </c>
      <c r="C59" s="13">
        <v>50</v>
      </c>
      <c r="D59" s="13"/>
      <c r="E59" s="13">
        <f>$C59</f>
        <v>50</v>
      </c>
      <c r="F59" s="13">
        <f>$C59</f>
        <v>50</v>
      </c>
      <c r="G59" s="13">
        <f>$C59</f>
        <v>50</v>
      </c>
      <c r="I59" s="81" t="s">
        <v>78</v>
      </c>
      <c r="J59" t="str">
        <f>IF(NOT('Packages Inputs and Outputs'!D20="n/a"), 'Packages Inputs and Outputs'!E20, "N/A")</f>
        <v>silver</v>
      </c>
      <c r="K59" s="74">
        <f t="shared" si="3"/>
        <v>3</v>
      </c>
    </row>
    <row r="60" spans="1:11" x14ac:dyDescent="0.3">
      <c r="A60" t="s">
        <v>143</v>
      </c>
      <c r="B60" t="s">
        <v>1403</v>
      </c>
      <c r="C60" s="13">
        <v>1700</v>
      </c>
      <c r="D60" s="13"/>
      <c r="E60" s="13">
        <f>2000+1000+200*2+200*2+300*2+800+(2000+1000)*0.25*E48/E47</f>
        <v>6381.0625</v>
      </c>
      <c r="F60" s="13">
        <f>1800+300+1800*F48/F47*0.25</f>
        <v>2697.7928571428574</v>
      </c>
      <c r="G60" s="13">
        <f>C60*G48/G47</f>
        <v>2025.6916666666668</v>
      </c>
      <c r="I60" s="81" t="s">
        <v>79</v>
      </c>
      <c r="J60" t="str">
        <f>IF(NOT('Packages Inputs and Outputs'!D21="n/a"), 'Packages Inputs and Outputs'!E21, "N/A")</f>
        <v>N/A</v>
      </c>
      <c r="K60" s="74">
        <f t="shared" si="3"/>
        <v>0</v>
      </c>
    </row>
    <row r="61" spans="1:11" x14ac:dyDescent="0.3">
      <c r="A61" t="s">
        <v>1291</v>
      </c>
      <c r="B61" t="s">
        <v>149</v>
      </c>
      <c r="C61" s="13">
        <f>700+500+320</f>
        <v>1520</v>
      </c>
      <c r="D61" s="13">
        <v>13</v>
      </c>
      <c r="E61" s="13">
        <f>($C61+$D61*8*14)*1.75</f>
        <v>5208</v>
      </c>
      <c r="F61" s="13">
        <f>$C61+$D61*8*11</f>
        <v>2664</v>
      </c>
      <c r="G61" s="13">
        <v>0</v>
      </c>
      <c r="I61" s="81" t="s">
        <v>80</v>
      </c>
      <c r="J61" t="str">
        <f>IF(NOT('Packages Inputs and Outputs'!D22="n/a"), 'Packages Inputs and Outputs'!E22, "N/A")</f>
        <v>N/A</v>
      </c>
      <c r="K61" s="74">
        <f t="shared" si="3"/>
        <v>0</v>
      </c>
    </row>
    <row r="62" spans="1:11" x14ac:dyDescent="0.3">
      <c r="A62" t="s">
        <v>656</v>
      </c>
      <c r="B62" t="s">
        <v>705</v>
      </c>
      <c r="C62" s="13">
        <v>0</v>
      </c>
      <c r="D62" s="13">
        <v>2</v>
      </c>
      <c r="E62" s="13">
        <f>$C62+$D62*E$48</f>
        <v>314.95</v>
      </c>
      <c r="F62" s="13">
        <f>$C62+$D62*F$48</f>
        <v>132.84285714285716</v>
      </c>
      <c r="G62" s="13">
        <f>$C62+$D62*G$48</f>
        <v>71.495000000000005</v>
      </c>
      <c r="I62" s="81" t="s">
        <v>81</v>
      </c>
      <c r="J62" t="str">
        <f>IF(NOT('Packages Inputs and Outputs'!D23="n/a"), 'Packages Inputs and Outputs'!E23, "N/A")</f>
        <v>N/A</v>
      </c>
      <c r="K62" s="74">
        <f t="shared" si="3"/>
        <v>0</v>
      </c>
    </row>
    <row r="63" spans="1:11" x14ac:dyDescent="0.3">
      <c r="A63" t="s">
        <v>146</v>
      </c>
      <c r="B63" t="s">
        <v>150</v>
      </c>
      <c r="C63" s="13">
        <v>300</v>
      </c>
      <c r="D63" s="13"/>
      <c r="E63" s="13">
        <f>C63*2</f>
        <v>600</v>
      </c>
      <c r="F63" s="13">
        <f>C63</f>
        <v>300</v>
      </c>
      <c r="G63" s="13">
        <f>C63*0.75</f>
        <v>225</v>
      </c>
      <c r="I63" s="81" t="s">
        <v>82</v>
      </c>
      <c r="J63" t="str">
        <f>IF(NOT('Packages Inputs and Outputs'!D24="n/a"), 'Packages Inputs and Outputs'!E24, "N/A")</f>
        <v>N/A</v>
      </c>
      <c r="K63" s="74">
        <f t="shared" si="3"/>
        <v>0</v>
      </c>
    </row>
    <row r="64" spans="1:11" x14ac:dyDescent="0.3">
      <c r="A64" t="s">
        <v>1436</v>
      </c>
      <c r="B64" t="s">
        <v>1438</v>
      </c>
      <c r="C64" s="13">
        <v>700</v>
      </c>
      <c r="D64" s="13"/>
      <c r="E64" s="13">
        <f>C64+150+100+150</f>
        <v>1100</v>
      </c>
      <c r="F64" s="13">
        <f>$C64</f>
        <v>700</v>
      </c>
      <c r="G64" s="13">
        <f>$C64</f>
        <v>700</v>
      </c>
      <c r="I64" s="81" t="s">
        <v>83</v>
      </c>
      <c r="J64" t="str">
        <f>IF(NOT('Packages Inputs and Outputs'!D25="n/a"), 'Packages Inputs and Outputs'!E25, "N/A")</f>
        <v>N/A</v>
      </c>
      <c r="K64" s="74">
        <f t="shared" si="3"/>
        <v>0</v>
      </c>
    </row>
    <row r="65" spans="1:11" x14ac:dyDescent="0.3">
      <c r="D65" s="39" t="s">
        <v>130</v>
      </c>
      <c r="E65" s="40">
        <f>SUM(E58:E64)</f>
        <v>16331.087500000001</v>
      </c>
      <c r="F65" s="40">
        <f>SUM(F58:F64)</f>
        <v>7673.8000000000011</v>
      </c>
      <c r="G65" s="40">
        <f>SUM(G58:G64)</f>
        <v>3072.1866666666665</v>
      </c>
      <c r="I65" s="73"/>
      <c r="K65" s="74"/>
    </row>
    <row r="66" spans="1:11" ht="15" thickBot="1" x14ac:dyDescent="0.35">
      <c r="A66" s="7" t="s">
        <v>63</v>
      </c>
      <c r="I66" s="75"/>
      <c r="J66" s="79" t="s">
        <v>990</v>
      </c>
      <c r="K66" s="80">
        <f>SUM(K56:K63)</f>
        <v>12</v>
      </c>
    </row>
    <row r="67" spans="1:11" x14ac:dyDescent="0.3">
      <c r="A67" s="13" t="s">
        <v>140</v>
      </c>
      <c r="B67" t="s">
        <v>1366</v>
      </c>
      <c r="D67" s="13">
        <f>20+12+17</f>
        <v>49</v>
      </c>
      <c r="E67" s="13">
        <f>$D67*E$48</f>
        <v>7716.2749999999996</v>
      </c>
      <c r="F67" s="13">
        <f>$D67*F$48</f>
        <v>3254.6500000000005</v>
      </c>
      <c r="G67" s="13"/>
    </row>
    <row r="68" spans="1:11" x14ac:dyDescent="0.3">
      <c r="A68" t="s">
        <v>141</v>
      </c>
      <c r="B68" t="s">
        <v>151</v>
      </c>
      <c r="C68" s="13">
        <f>50+25*11*8</f>
        <v>2250</v>
      </c>
      <c r="E68" s="13">
        <f>$C68</f>
        <v>2250</v>
      </c>
      <c r="F68" s="13">
        <f>$C68</f>
        <v>2250</v>
      </c>
      <c r="G68" s="13">
        <f>$C68</f>
        <v>2250</v>
      </c>
    </row>
    <row r="69" spans="1:11" x14ac:dyDescent="0.3">
      <c r="A69" t="s">
        <v>143</v>
      </c>
      <c r="B69" t="s">
        <v>1402</v>
      </c>
      <c r="C69" s="13">
        <v>5000</v>
      </c>
      <c r="E69" s="13">
        <f>(3500+1500)+((3500+1500)*0.25*E48/E47)+400*2+300*2+500*2+1000</f>
        <v>10368.4375</v>
      </c>
      <c r="F69" s="13">
        <f>C69+C69*0.25*F48/F47</f>
        <v>6660.5357142857147</v>
      </c>
      <c r="G69" s="13">
        <f>C69*0.75</f>
        <v>3750</v>
      </c>
      <c r="I69" s="13">
        <f>F65-F56</f>
        <v>2876.2142857142862</v>
      </c>
    </row>
    <row r="70" spans="1:11" x14ac:dyDescent="0.3">
      <c r="A70" t="s">
        <v>1291</v>
      </c>
      <c r="B70" t="s">
        <v>152</v>
      </c>
      <c r="C70" s="13">
        <f>4000+1500+2000</f>
        <v>7500</v>
      </c>
      <c r="D70" s="13">
        <v>25</v>
      </c>
      <c r="E70" s="13">
        <f>($C70+$D70*(3*8*14+5*5)*1.75)</f>
        <v>23293.75</v>
      </c>
      <c r="F70" s="13">
        <f>$C70+$D70*(3*8*11+5*5)</f>
        <v>14725</v>
      </c>
      <c r="G70" s="13">
        <v>0</v>
      </c>
    </row>
    <row r="71" spans="1:11" x14ac:dyDescent="0.3">
      <c r="A71" t="s">
        <v>656</v>
      </c>
      <c r="B71" t="s">
        <v>706</v>
      </c>
      <c r="C71" s="13"/>
      <c r="D71">
        <f>150*(1+IF('Packages Inputs and Outputs'!E43=Inputs!C54, Inputs!C55, IF('Packages Inputs and Outputs'!E43=Inputs!D54, Inputs!D55, IF('Packages Inputs and Outputs'!E43=Inputs!E54, Inputs!E55, Inputs!F55))))</f>
        <v>165</v>
      </c>
      <c r="E71" s="13">
        <f>C71+D71*2+5*E$48</f>
        <v>1117.375</v>
      </c>
      <c r="F71" s="13">
        <f>C71+D71+5*F$48</f>
        <v>497.10714285714289</v>
      </c>
      <c r="G71" s="13">
        <f>C71/2+D71+5*G$48</f>
        <v>343.73750000000001</v>
      </c>
      <c r="I71" s="13"/>
    </row>
    <row r="72" spans="1:11" x14ac:dyDescent="0.3">
      <c r="A72" t="s">
        <v>146</v>
      </c>
      <c r="B72" t="s">
        <v>153</v>
      </c>
      <c r="C72" s="13">
        <v>1400</v>
      </c>
      <c r="E72" s="13">
        <f>C72*2</f>
        <v>2800</v>
      </c>
      <c r="F72" s="13">
        <f>C72</f>
        <v>1400</v>
      </c>
      <c r="G72" s="13">
        <f>C72*0.75</f>
        <v>1050</v>
      </c>
    </row>
    <row r="73" spans="1:11" x14ac:dyDescent="0.3">
      <c r="A73" t="s">
        <v>1436</v>
      </c>
      <c r="B73" t="s">
        <v>154</v>
      </c>
      <c r="C73" s="13">
        <v>1500</v>
      </c>
      <c r="E73" s="13">
        <f>C73*2</f>
        <v>3000</v>
      </c>
      <c r="F73" s="13">
        <f>$C73</f>
        <v>1500</v>
      </c>
      <c r="G73" s="13">
        <f>$C73</f>
        <v>1500</v>
      </c>
    </row>
    <row r="74" spans="1:11" x14ac:dyDescent="0.3">
      <c r="D74" s="39" t="s">
        <v>133</v>
      </c>
      <c r="E74" s="40">
        <f>SUM(E67:E73)</f>
        <v>50545.837500000001</v>
      </c>
      <c r="F74" s="40">
        <f>SUM(F67:F73)</f>
        <v>30287.292857142857</v>
      </c>
      <c r="G74" s="40">
        <f>SUM(G67:G73)</f>
        <v>8893.7374999999993</v>
      </c>
    </row>
    <row r="75" spans="1:11" x14ac:dyDescent="0.3">
      <c r="A75" s="7" t="s">
        <v>64</v>
      </c>
    </row>
    <row r="76" spans="1:11" x14ac:dyDescent="0.3">
      <c r="A76" s="13" t="s">
        <v>140</v>
      </c>
      <c r="B76" t="s">
        <v>1367</v>
      </c>
      <c r="C76" s="13">
        <v>1500</v>
      </c>
      <c r="D76" s="13">
        <f>30+12+17</f>
        <v>59</v>
      </c>
      <c r="E76" s="13">
        <f>$C76+$D76*E$48</f>
        <v>10791.025</v>
      </c>
      <c r="F76" s="13">
        <f>$C76+$D76*F$48</f>
        <v>5418.8642857142859</v>
      </c>
      <c r="G76" s="13"/>
    </row>
    <row r="77" spans="1:11" x14ac:dyDescent="0.3">
      <c r="A77" t="s">
        <v>141</v>
      </c>
      <c r="B77" t="s">
        <v>155</v>
      </c>
      <c r="C77" s="13">
        <f>200+25*30*9</f>
        <v>6950</v>
      </c>
      <c r="D77" s="13"/>
      <c r="E77" s="13">
        <f>C77*1.5</f>
        <v>10425</v>
      </c>
      <c r="F77" s="13">
        <f>$C77</f>
        <v>6950</v>
      </c>
      <c r="G77" s="13">
        <f>$C77*0.75</f>
        <v>5212.5</v>
      </c>
    </row>
    <row r="78" spans="1:11" x14ac:dyDescent="0.3">
      <c r="A78" t="s">
        <v>143</v>
      </c>
      <c r="B78" t="s">
        <v>1404</v>
      </c>
      <c r="C78" s="13">
        <v>8000</v>
      </c>
      <c r="D78" s="13"/>
      <c r="E78" s="13">
        <f>C78*2+C78*0.25*E48/E47</f>
        <v>19149.5</v>
      </c>
      <c r="F78" s="13">
        <f>C78+C78*0.25*F48/F47</f>
        <v>10656.857142857143</v>
      </c>
      <c r="G78" s="13">
        <f>C78+C78*0.25*G48/G47</f>
        <v>10383.166666666666</v>
      </c>
    </row>
    <row r="79" spans="1:11" x14ac:dyDescent="0.3">
      <c r="A79" t="s">
        <v>1291</v>
      </c>
      <c r="B79" t="s">
        <v>156</v>
      </c>
      <c r="C79" s="13">
        <f>6500+2500+5000</f>
        <v>14000</v>
      </c>
      <c r="D79" s="13">
        <f>30</f>
        <v>30</v>
      </c>
      <c r="E79" s="13">
        <f>($C79+$D79*(9*20+7*7)*1.75)</f>
        <v>26022.5</v>
      </c>
      <c r="F79" s="13">
        <f>$C79+$D79*(9*20+7*7)</f>
        <v>20870</v>
      </c>
      <c r="G79" s="13">
        <v>0</v>
      </c>
    </row>
    <row r="80" spans="1:11" x14ac:dyDescent="0.3">
      <c r="A80" t="s">
        <v>656</v>
      </c>
      <c r="B80" t="s">
        <v>707</v>
      </c>
      <c r="C80" s="13"/>
      <c r="D80" s="13">
        <f>300*(1+IF('Packages Inputs and Outputs'!E43=Inputs!C54, Inputs!C55, IF('Packages Inputs and Outputs'!E43=Inputs!D54, Inputs!D55, IF('Packages Inputs and Outputs'!E43=Inputs!E54, Inputs!E55, Inputs!F55))))</f>
        <v>330</v>
      </c>
      <c r="E80" s="13">
        <f>C80+D80*2+8*E$48</f>
        <v>1919.8</v>
      </c>
      <c r="F80" s="13">
        <f>C80+D80+8*F$48</f>
        <v>861.37142857142862</v>
      </c>
      <c r="G80" s="13">
        <f>C80/2+D80+8*G$48</f>
        <v>615.98</v>
      </c>
    </row>
    <row r="81" spans="1:10" x14ac:dyDescent="0.3">
      <c r="A81" t="s">
        <v>146</v>
      </c>
      <c r="B81" t="s">
        <v>157</v>
      </c>
      <c r="C81" s="13">
        <v>3000</v>
      </c>
      <c r="D81" s="13"/>
      <c r="E81" s="13">
        <f>C81*2</f>
        <v>6000</v>
      </c>
      <c r="F81" s="13">
        <f>C81</f>
        <v>3000</v>
      </c>
      <c r="G81" s="13">
        <f>C81*0.75</f>
        <v>2250</v>
      </c>
    </row>
    <row r="82" spans="1:10" x14ac:dyDescent="0.3">
      <c r="A82" t="s">
        <v>1436</v>
      </c>
      <c r="B82" t="s">
        <v>1439</v>
      </c>
      <c r="C82" s="13">
        <v>7000</v>
      </c>
      <c r="D82" s="13"/>
      <c r="E82" s="13">
        <f>C82</f>
        <v>7000</v>
      </c>
      <c r="F82" s="13">
        <f>C82</f>
        <v>7000</v>
      </c>
      <c r="G82" s="13">
        <f>C82-1000</f>
        <v>6000</v>
      </c>
    </row>
    <row r="83" spans="1:10" x14ac:dyDescent="0.3">
      <c r="D83" s="39" t="s">
        <v>137</v>
      </c>
      <c r="E83" s="40">
        <f>SUM(E76:E82)</f>
        <v>81307.824999999997</v>
      </c>
      <c r="F83" s="40">
        <f>SUM(F76:F82)</f>
        <v>54757.092857142859</v>
      </c>
      <c r="G83" s="40">
        <f>SUM(G76:G82)</f>
        <v>24461.646666666667</v>
      </c>
    </row>
    <row r="86" spans="1:10" x14ac:dyDescent="0.3">
      <c r="D86" t="s">
        <v>1345</v>
      </c>
      <c r="E86" t="s">
        <v>108</v>
      </c>
      <c r="F86" t="s">
        <v>158</v>
      </c>
      <c r="G86" t="s">
        <v>159</v>
      </c>
    </row>
    <row r="87" spans="1:10" x14ac:dyDescent="0.3">
      <c r="B87" t="s">
        <v>65</v>
      </c>
      <c r="D87">
        <v>60</v>
      </c>
      <c r="E87" t="s">
        <v>160</v>
      </c>
      <c r="F87" s="48">
        <v>15.5</v>
      </c>
    </row>
    <row r="88" spans="1:10" x14ac:dyDescent="0.3">
      <c r="A88" s="7" t="s">
        <v>61</v>
      </c>
      <c r="C88" t="s">
        <v>161</v>
      </c>
      <c r="D88" t="s">
        <v>139</v>
      </c>
      <c r="E88" s="16">
        <f>16*12+6*3</f>
        <v>210</v>
      </c>
      <c r="F88" s="11">
        <f>'Package Price Back Calcs'!E88+('Attributes Back Calcs'!G10-'Defaults and Ranges'!D7)/'Package Price Back Calcs'!F87</f>
        <v>210</v>
      </c>
    </row>
    <row r="89" spans="1:10" x14ac:dyDescent="0.3">
      <c r="A89" t="s">
        <v>162</v>
      </c>
      <c r="B89" t="s">
        <v>1347</v>
      </c>
      <c r="C89" s="13">
        <f>480*28+240*6+1500+500+0.5*E88</f>
        <v>16985</v>
      </c>
      <c r="D89" s="13">
        <f>36+0.5</f>
        <v>36.5</v>
      </c>
      <c r="E89" s="13">
        <f>C89</f>
        <v>16985</v>
      </c>
      <c r="F89" s="13">
        <f>C89+(F$88-E$88)*D89</f>
        <v>16985</v>
      </c>
      <c r="G89" s="13">
        <f>F89*(1+(Inputs!$C$43*('Attributes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16985</v>
      </c>
      <c r="I89">
        <f>(210/10)*5</f>
        <v>105</v>
      </c>
      <c r="J89" s="64">
        <f>I89/E88</f>
        <v>0.5</v>
      </c>
    </row>
    <row r="90" spans="1:10" x14ac:dyDescent="0.3">
      <c r="A90" t="s">
        <v>163</v>
      </c>
      <c r="B90" t="s">
        <v>1405</v>
      </c>
      <c r="C90" s="13">
        <f>2800+500</f>
        <v>3300</v>
      </c>
      <c r="D90" s="13">
        <v>4</v>
      </c>
      <c r="E90" s="13">
        <f>$C90</f>
        <v>3300</v>
      </c>
      <c r="F90" s="13">
        <f>C90+(F$88-E$88)*D90</f>
        <v>3300</v>
      </c>
      <c r="G90" s="13">
        <f>F90</f>
        <v>3300</v>
      </c>
      <c r="I90">
        <f>(378/10)*5</f>
        <v>189</v>
      </c>
      <c r="J90">
        <f>I90/F88</f>
        <v>0.9</v>
      </c>
    </row>
    <row r="91" spans="1:10" x14ac:dyDescent="0.3">
      <c r="A91" t="s">
        <v>164</v>
      </c>
      <c r="B91" t="s">
        <v>165</v>
      </c>
      <c r="C91" s="13">
        <f>35*D87</f>
        <v>2100</v>
      </c>
      <c r="D91" s="13">
        <f>600/155</f>
        <v>3.870967741935484</v>
      </c>
      <c r="E91" s="13">
        <f>C91</f>
        <v>2100</v>
      </c>
      <c r="F91" s="13">
        <f>$C91+D91*(F$88-E$88)</f>
        <v>2100</v>
      </c>
      <c r="G91" s="13">
        <f>F91*(1+(IF('Attributes Inputs and Outputs'!$O$8=Inputs!$C$44,Inputs!$C$45,IF('Attributes Inputs and Outputs'!$O$8=Inputs!$D$44,Inputs!$D$45,IF('Attributes Inputs and Outputs'!$O$8=Inputs!$E$44,Inputs!$E$45,IF('Attributes Inputs and Outputs'!$O$8=Inputs!$F$44,Inputs!$F$45,Inputs!$G$45))))))</f>
        <v>2100</v>
      </c>
    </row>
    <row r="92" spans="1:10" x14ac:dyDescent="0.3">
      <c r="A92" t="s">
        <v>166</v>
      </c>
      <c r="B92" s="46" t="s">
        <v>167</v>
      </c>
      <c r="C92" s="13">
        <f>100+200</f>
        <v>300</v>
      </c>
      <c r="D92" s="13">
        <v>1</v>
      </c>
      <c r="E92" s="13">
        <f>C92</f>
        <v>300</v>
      </c>
      <c r="F92" s="13">
        <f>$C92+D92*(F$88-E$88)</f>
        <v>300</v>
      </c>
      <c r="G92" s="13">
        <f>F92</f>
        <v>300</v>
      </c>
    </row>
    <row r="93" spans="1:10" x14ac:dyDescent="0.3">
      <c r="A93" t="s">
        <v>168</v>
      </c>
      <c r="B93" t="s">
        <v>708</v>
      </c>
      <c r="C93" s="13">
        <v>0</v>
      </c>
      <c r="D93" s="13">
        <v>0</v>
      </c>
      <c r="E93" s="13">
        <f>$D93*E88</f>
        <v>0</v>
      </c>
      <c r="F93" s="13">
        <f>$D93*F88</f>
        <v>0</v>
      </c>
      <c r="G93" s="13">
        <f>F93*(1+(Inputs!$C$43*('Attributes Inputs and Outputs'!$L$8-'Defaults and Ranges'!$O$6)))*(1+(IF('Attributes Inputs and Outputs'!$O$8=Inputs!$C$44,Inputs!$C$45,IF('Attributes Inputs and Outputs'!$O$8=Inputs!$D$44,Inputs!$D$45,IF('Attributes Inputs and Outputs'!$O$8=Inputs!$E$44,Inputs!$E$45,IF('Attributes Inputs and Outputs'!$O$8=Inputs!$F$44,Inputs!$F$45,Inputs!$G$45))))))</f>
        <v>0</v>
      </c>
    </row>
    <row r="94" spans="1:10" x14ac:dyDescent="0.3">
      <c r="A94" t="s">
        <v>146</v>
      </c>
      <c r="B94" t="s">
        <v>1422</v>
      </c>
      <c r="C94" s="13">
        <f>6*100+2*50</f>
        <v>700</v>
      </c>
      <c r="D94" s="37">
        <v>2</v>
      </c>
      <c r="E94" s="13">
        <f>C94</f>
        <v>700</v>
      </c>
      <c r="F94" s="13">
        <f>$C94+D94*(F$88-E$88)</f>
        <v>700</v>
      </c>
      <c r="G94" s="13">
        <f>F94</f>
        <v>700</v>
      </c>
    </row>
    <row r="95" spans="1:10" x14ac:dyDescent="0.3">
      <c r="D95" s="39" t="s">
        <v>127</v>
      </c>
      <c r="E95" s="40">
        <f>SUM(E89:E94)</f>
        <v>23385</v>
      </c>
      <c r="F95" s="40">
        <f>SUM(F89:F94)</f>
        <v>23385</v>
      </c>
      <c r="G95" s="40">
        <f>SUM(G89:G94)</f>
        <v>23385</v>
      </c>
    </row>
    <row r="96" spans="1:10" x14ac:dyDescent="0.3">
      <c r="A96" s="7" t="s">
        <v>62</v>
      </c>
      <c r="C96" s="13"/>
      <c r="D96" s="13"/>
      <c r="E96" s="13"/>
      <c r="F96" s="13"/>
    </row>
    <row r="97" spans="1:9" x14ac:dyDescent="0.3">
      <c r="A97" t="s">
        <v>162</v>
      </c>
      <c r="B97" t="s">
        <v>1348</v>
      </c>
      <c r="C97" s="13">
        <f>640*28+320*6+1500+750+1.1*E88</f>
        <v>22321</v>
      </c>
      <c r="D97" s="13">
        <f>49+1.1</f>
        <v>50.1</v>
      </c>
      <c r="E97" s="13">
        <f>C97</f>
        <v>22321</v>
      </c>
      <c r="F97" s="13">
        <f>C97+(F$88-E$88)*D97</f>
        <v>22321</v>
      </c>
      <c r="G97" s="13">
        <f>F97*(1+(Inputs!$C$43*('Attributes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22321</v>
      </c>
    </row>
    <row r="98" spans="1:9" x14ac:dyDescent="0.3">
      <c r="A98" t="s">
        <v>163</v>
      </c>
      <c r="B98" t="s">
        <v>169</v>
      </c>
      <c r="C98" s="13">
        <f>4200+750</f>
        <v>4950</v>
      </c>
      <c r="D98" s="13">
        <v>5</v>
      </c>
      <c r="E98" s="13">
        <f>$C98</f>
        <v>4950</v>
      </c>
      <c r="F98" s="13">
        <f>C98+(F$88-E$88)*D98</f>
        <v>4950</v>
      </c>
      <c r="G98" s="13">
        <f>F98</f>
        <v>4950</v>
      </c>
    </row>
    <row r="99" spans="1:9" x14ac:dyDescent="0.3">
      <c r="A99" t="s">
        <v>164</v>
      </c>
      <c r="B99" t="s">
        <v>170</v>
      </c>
      <c r="C99" s="13">
        <f>50*D87*1.3</f>
        <v>3900</v>
      </c>
      <c r="D99" s="14">
        <f>D91*50/35</f>
        <v>5.5299539170506913</v>
      </c>
      <c r="E99" s="13">
        <f>C99</f>
        <v>3900</v>
      </c>
      <c r="F99" s="13">
        <f>$C99+D99*(F$88-E$88)</f>
        <v>3900</v>
      </c>
      <c r="G99" s="13">
        <f>F99*(1+(IF('Attributes Inputs and Outputs'!$O$8=Inputs!$C$44,Inputs!$C$45,IF('Attributes Inputs and Outputs'!$O$8=Inputs!$D$44,Inputs!$D$45,IF('Attributes Inputs and Outputs'!$O$8=Inputs!$E$44,Inputs!$E$45,IF('Attributes Inputs and Outputs'!$O$8=Inputs!$F$44,Inputs!$F$45,Inputs!$G$45))))))</f>
        <v>3900</v>
      </c>
    </row>
    <row r="100" spans="1:9" x14ac:dyDescent="0.3">
      <c r="A100" t="s">
        <v>166</v>
      </c>
      <c r="B100" t="s">
        <v>171</v>
      </c>
      <c r="C100" s="13">
        <f>400+450</f>
        <v>850</v>
      </c>
      <c r="D100" s="13">
        <v>1</v>
      </c>
      <c r="E100" s="13">
        <f>C100</f>
        <v>850</v>
      </c>
      <c r="F100" s="13">
        <f>$C100+D100*(F$88-E$88)</f>
        <v>850</v>
      </c>
      <c r="G100" s="13">
        <f>F100</f>
        <v>850</v>
      </c>
    </row>
    <row r="101" spans="1:9" x14ac:dyDescent="0.3">
      <c r="A101" t="s">
        <v>168</v>
      </c>
      <c r="B101" t="s">
        <v>1434</v>
      </c>
      <c r="C101" s="13">
        <f>50*13+1000</f>
        <v>1650</v>
      </c>
      <c r="D101" s="13">
        <v>0</v>
      </c>
      <c r="E101" s="13">
        <f>C101</f>
        <v>1650</v>
      </c>
      <c r="F101" s="13">
        <f>C101</f>
        <v>1650</v>
      </c>
      <c r="G101" s="13">
        <f>F101*(1+(Inputs!$C$43*('Attributes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1650</v>
      </c>
    </row>
    <row r="102" spans="1:9" x14ac:dyDescent="0.3">
      <c r="A102" t="s">
        <v>146</v>
      </c>
      <c r="B102" t="s">
        <v>1423</v>
      </c>
      <c r="C102" s="13">
        <f>6*100+2*150+400</f>
        <v>1300</v>
      </c>
      <c r="D102" s="37">
        <v>3</v>
      </c>
      <c r="E102" s="13">
        <f>C102</f>
        <v>1300</v>
      </c>
      <c r="F102" s="13">
        <f>$C102+D102*(F$88-E$88)</f>
        <v>1300</v>
      </c>
      <c r="G102" s="13">
        <f>F102</f>
        <v>1300</v>
      </c>
    </row>
    <row r="103" spans="1:9" x14ac:dyDescent="0.3">
      <c r="D103" s="39" t="s">
        <v>130</v>
      </c>
      <c r="E103" s="40">
        <f>SUM(E97:E102)</f>
        <v>34971</v>
      </c>
      <c r="F103" s="40">
        <f>SUM(F97:F102)</f>
        <v>34971</v>
      </c>
      <c r="G103" s="40">
        <f>SUM(G97:G102)</f>
        <v>34971</v>
      </c>
    </row>
    <row r="104" spans="1:9" x14ac:dyDescent="0.3">
      <c r="A104" s="7" t="s">
        <v>63</v>
      </c>
      <c r="F104" s="13"/>
    </row>
    <row r="105" spans="1:9" x14ac:dyDescent="0.3">
      <c r="A105" t="s">
        <v>162</v>
      </c>
      <c r="B105" t="s">
        <v>1349</v>
      </c>
      <c r="C105" s="13">
        <f>850*28+425*6+2000+2000+3*E88</f>
        <v>30980</v>
      </c>
      <c r="D105" s="13">
        <f>65+3</f>
        <v>68</v>
      </c>
      <c r="E105" s="13">
        <f>C105</f>
        <v>30980</v>
      </c>
      <c r="F105" s="13">
        <f>C105+(F$88-E$88)*D105</f>
        <v>30980</v>
      </c>
      <c r="G105" s="13">
        <f>F105*(1+(Inputs!$C$43*('Attributes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30980</v>
      </c>
      <c r="I105" s="13"/>
    </row>
    <row r="106" spans="1:9" x14ac:dyDescent="0.3">
      <c r="A106" t="s">
        <v>163</v>
      </c>
      <c r="B106" t="s">
        <v>1287</v>
      </c>
      <c r="C106" s="13">
        <f>(9500+12000+3400+1500+3500+300)*1.06</f>
        <v>32012</v>
      </c>
      <c r="D106" s="13"/>
      <c r="E106" s="13">
        <f>$C106</f>
        <v>32012</v>
      </c>
      <c r="F106" s="13">
        <f>C106+(F$88-E$88)*D106</f>
        <v>32012</v>
      </c>
      <c r="G106" s="13">
        <f>F106</f>
        <v>32012</v>
      </c>
    </row>
    <row r="107" spans="1:9" x14ac:dyDescent="0.3">
      <c r="A107" t="s">
        <v>164</v>
      </c>
      <c r="B107" t="s">
        <v>172</v>
      </c>
      <c r="C107" s="13">
        <f>80*D87*1.6</f>
        <v>7680</v>
      </c>
      <c r="D107" s="14">
        <f>D91*80/35</f>
        <v>8.8479262672811068</v>
      </c>
      <c r="E107" s="13">
        <f>C107</f>
        <v>7680</v>
      </c>
      <c r="F107" s="13">
        <f>$C107+D107*(F$88-E$88)</f>
        <v>7680</v>
      </c>
      <c r="G107" s="13">
        <f>F107*(1+(IF('Attributes Inputs and Outputs'!$O$8=Inputs!$C$44,Inputs!$C$45,IF('Attributes Inputs and Outputs'!$O$8=Inputs!$D$44,Inputs!$D$45,IF('Attributes Inputs and Outputs'!$O$8=Inputs!$E$44,Inputs!$E$45,IF('Attributes Inputs and Outputs'!$O$8=Inputs!$F$44,Inputs!$F$45,Inputs!$G$45))))))</f>
        <v>7680</v>
      </c>
    </row>
    <row r="108" spans="1:9" x14ac:dyDescent="0.3">
      <c r="A108" t="s">
        <v>166</v>
      </c>
      <c r="B108" t="s">
        <v>173</v>
      </c>
      <c r="C108" s="13">
        <f>2500+1500</f>
        <v>4000</v>
      </c>
      <c r="D108" s="13">
        <v>3</v>
      </c>
      <c r="E108" s="13">
        <f>C108</f>
        <v>4000</v>
      </c>
      <c r="F108" s="13">
        <f>$C108+D108*(F$88-E$88)</f>
        <v>4000</v>
      </c>
      <c r="G108" s="13">
        <f>F108</f>
        <v>4000</v>
      </c>
    </row>
    <row r="109" spans="1:9" x14ac:dyDescent="0.3">
      <c r="A109" t="s">
        <v>168</v>
      </c>
      <c r="B109" t="s">
        <v>1435</v>
      </c>
      <c r="C109" s="13">
        <f>(12+2)*(24+25*1.5)+1000+2000+2500</f>
        <v>6361</v>
      </c>
      <c r="D109" s="13">
        <v>5</v>
      </c>
      <c r="E109" s="13">
        <f>C109</f>
        <v>6361</v>
      </c>
      <c r="F109" s="13">
        <f>$C109+D109*(F$88-E$88)</f>
        <v>6361</v>
      </c>
      <c r="G109" s="13">
        <f>F109*(1+(Inputs!$C$43*('Attributes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6361</v>
      </c>
    </row>
    <row r="110" spans="1:9" x14ac:dyDescent="0.3">
      <c r="A110" t="s">
        <v>146</v>
      </c>
      <c r="B110" t="s">
        <v>1424</v>
      </c>
      <c r="C110" s="13">
        <f>10*250+3*300+600</f>
        <v>4000</v>
      </c>
      <c r="D110" s="37">
        <v>5</v>
      </c>
      <c r="E110" s="13">
        <f>C110</f>
        <v>4000</v>
      </c>
      <c r="F110" s="13">
        <f>$C110+D110*(F$88-E$88)</f>
        <v>4000</v>
      </c>
      <c r="G110" s="13">
        <f>F110</f>
        <v>4000</v>
      </c>
    </row>
    <row r="111" spans="1:9" x14ac:dyDescent="0.3">
      <c r="D111" s="39" t="s">
        <v>133</v>
      </c>
      <c r="E111" s="40">
        <f>SUM(E105:E110)</f>
        <v>85033</v>
      </c>
      <c r="F111" s="40">
        <f>SUM(F105:F110)</f>
        <v>85033</v>
      </c>
      <c r="G111" s="40">
        <f>SUM(G105:G110)</f>
        <v>85033</v>
      </c>
    </row>
    <row r="112" spans="1:9" x14ac:dyDescent="0.3">
      <c r="A112" s="7" t="s">
        <v>64</v>
      </c>
      <c r="B112" s="13"/>
      <c r="F112" s="13"/>
    </row>
    <row r="113" spans="1:7" x14ac:dyDescent="0.3">
      <c r="A113" t="s">
        <v>162</v>
      </c>
      <c r="B113" t="s">
        <v>1350</v>
      </c>
      <c r="C113" s="13">
        <f>1200*28+600*6+3000+5000+8*E88</f>
        <v>46880</v>
      </c>
      <c r="D113" s="13">
        <f>91+8</f>
        <v>99</v>
      </c>
      <c r="E113" s="13">
        <f>C113</f>
        <v>46880</v>
      </c>
      <c r="F113" s="13">
        <f>C113+(F$88-E$88)*D113</f>
        <v>46880</v>
      </c>
      <c r="G113" s="13">
        <f>F113*(1+(Inputs!$C$43*('Attributes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46880</v>
      </c>
    </row>
    <row r="114" spans="1:7" ht="30" customHeight="1" x14ac:dyDescent="0.3">
      <c r="A114" t="s">
        <v>163</v>
      </c>
      <c r="B114" s="47" t="s">
        <v>1288</v>
      </c>
      <c r="C114" s="13">
        <f>(10800+2000*2+12000+3800+1900+4500+4000)*1.06</f>
        <v>43460</v>
      </c>
      <c r="D114" s="13"/>
      <c r="E114" s="13">
        <f>$C114</f>
        <v>43460</v>
      </c>
      <c r="F114" s="13">
        <f>C114+(F$88-E$88)*D114</f>
        <v>43460</v>
      </c>
      <c r="G114" s="13">
        <f>F114</f>
        <v>43460</v>
      </c>
    </row>
    <row r="115" spans="1:7" x14ac:dyDescent="0.3">
      <c r="A115" t="s">
        <v>164</v>
      </c>
      <c r="B115" t="s">
        <v>174</v>
      </c>
      <c r="C115" s="13">
        <f>140*D87*2</f>
        <v>16800</v>
      </c>
      <c r="D115" s="14">
        <f>D91*140/35</f>
        <v>15.483870967741938</v>
      </c>
      <c r="E115" s="13">
        <f>C115</f>
        <v>16800</v>
      </c>
      <c r="F115" s="13">
        <f>$C115+D115*(F$88-E$88)</f>
        <v>16800</v>
      </c>
      <c r="G115" s="13">
        <f>F115*(1+(IF('Attributes Inputs and Outputs'!$O$8=Inputs!$C$44,Inputs!$C$45,IF('Attributes Inputs and Outputs'!$O$8=Inputs!$D$44,Inputs!$D$45,IF('Attributes Inputs and Outputs'!$O$8=Inputs!$E$44,Inputs!$E$45,IF('Attributes Inputs and Outputs'!$O$8=Inputs!$F$44,Inputs!$F$45,Inputs!$G$45))))))</f>
        <v>16800</v>
      </c>
    </row>
    <row r="116" spans="1:7" x14ac:dyDescent="0.3">
      <c r="A116" t="s">
        <v>166</v>
      </c>
      <c r="B116" t="s">
        <v>175</v>
      </c>
      <c r="C116" s="13">
        <f>5000+4000</f>
        <v>9000</v>
      </c>
      <c r="D116" s="13">
        <v>5</v>
      </c>
      <c r="E116" s="13">
        <f>C116</f>
        <v>9000</v>
      </c>
      <c r="F116" s="13">
        <f>$C116+D116*(F$88-E$88)</f>
        <v>9000</v>
      </c>
      <c r="G116" s="13">
        <f>F116</f>
        <v>9000</v>
      </c>
    </row>
    <row r="117" spans="1:7" x14ac:dyDescent="0.3">
      <c r="A117" t="s">
        <v>168</v>
      </c>
      <c r="B117" t="s">
        <v>176</v>
      </c>
      <c r="C117" s="13">
        <f>(31*25*1.5)+10000+150*(1+IF('Packages Inputs and Outputs'!E43=Inputs!C54, Inputs!C55, IF('Packages Inputs and Outputs'!E43=Inputs!D54, Inputs!D55, IF('Packages Inputs and Outputs'!E43=Inputs!E54, Inputs!E55, Inputs!F55))))</f>
        <v>11327.5</v>
      </c>
      <c r="D117" s="13">
        <v>20</v>
      </c>
      <c r="E117" s="13">
        <f>C117</f>
        <v>11327.5</v>
      </c>
      <c r="F117" s="13">
        <f>$C117+D117*(F$88-E$88)</f>
        <v>11327.5</v>
      </c>
      <c r="G117" s="13">
        <f>F117*(1+(Inputs!$C$43*('Attributes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11327.5</v>
      </c>
    </row>
    <row r="118" spans="1:7" x14ac:dyDescent="0.3">
      <c r="A118" t="s">
        <v>146</v>
      </c>
      <c r="B118" t="s">
        <v>1425</v>
      </c>
      <c r="C118" s="13">
        <f>10*250+3*600+1000</f>
        <v>5300</v>
      </c>
      <c r="D118" s="37">
        <v>10</v>
      </c>
      <c r="E118" s="13">
        <f>C118</f>
        <v>5300</v>
      </c>
      <c r="F118" s="13">
        <f>$C118+D118*(F$88-E$88)</f>
        <v>5300</v>
      </c>
      <c r="G118" s="13">
        <f>F118</f>
        <v>5300</v>
      </c>
    </row>
    <row r="119" spans="1:7" x14ac:dyDescent="0.3">
      <c r="D119" s="39" t="s">
        <v>137</v>
      </c>
      <c r="E119" s="40">
        <f>SUM(E113:E118)</f>
        <v>132767.5</v>
      </c>
      <c r="F119" s="40">
        <f>SUM(F113:F118)</f>
        <v>132767.5</v>
      </c>
      <c r="G119" s="40">
        <f>SUM(G113:G118)</f>
        <v>132767.5</v>
      </c>
    </row>
    <row r="121" spans="1:7" x14ac:dyDescent="0.3">
      <c r="E121" t="s">
        <v>108</v>
      </c>
      <c r="F121" t="s">
        <v>158</v>
      </c>
      <c r="G121" t="s">
        <v>159</v>
      </c>
    </row>
    <row r="122" spans="1:7" x14ac:dyDescent="0.3">
      <c r="B122" s="60" t="s">
        <v>84</v>
      </c>
      <c r="F122" s="34">
        <v>4.4999999999999998E-2</v>
      </c>
    </row>
    <row r="123" spans="1:7" x14ac:dyDescent="0.3">
      <c r="A123" s="7" t="s">
        <v>61</v>
      </c>
      <c r="D123" t="s">
        <v>139</v>
      </c>
      <c r="E123" s="16">
        <v>325</v>
      </c>
      <c r="F123" s="11">
        <f>E123+('Attributes Back Calcs'!$G$10-'Defaults and Ranges'!$D$7)*F122</f>
        <v>325</v>
      </c>
    </row>
    <row r="124" spans="1:7" x14ac:dyDescent="0.3">
      <c r="A124" t="s">
        <v>177</v>
      </c>
      <c r="B124" t="s">
        <v>709</v>
      </c>
      <c r="C124" s="13"/>
      <c r="D124" s="37">
        <v>0</v>
      </c>
      <c r="E124" s="13">
        <f>$C124+($D124*E$123)</f>
        <v>0</v>
      </c>
      <c r="F124" s="13">
        <f>$C124+($D124*F$123)</f>
        <v>0</v>
      </c>
      <c r="G124" s="13">
        <f>F124*(1+(IF('Attributes Inputs and Outputs'!$O$8=Inputs!$C$44,Inputs!$C$45,IF('Attributes Inputs and Outputs'!$O$8=Inputs!$D$44,Inputs!$D$45,IF('Attributes Inputs and Outputs'!$O$8=Inputs!$E$44,Inputs!$E$45,IF('Attributes Inputs and Outputs'!$O$8=Inputs!$F$44,Inputs!$F$45,Inputs!$G$45))))))</f>
        <v>0</v>
      </c>
    </row>
    <row r="125" spans="1:7" x14ac:dyDescent="0.3">
      <c r="A125" s="49" t="s">
        <v>178</v>
      </c>
      <c r="B125" t="s">
        <v>179</v>
      </c>
      <c r="C125" s="13"/>
      <c r="D125" s="13">
        <v>0</v>
      </c>
      <c r="E125" s="13">
        <f t="shared" ref="E125:G126" si="4">D125</f>
        <v>0</v>
      </c>
      <c r="F125" s="13">
        <f t="shared" si="4"/>
        <v>0</v>
      </c>
      <c r="G125" s="13">
        <f t="shared" si="4"/>
        <v>0</v>
      </c>
    </row>
    <row r="126" spans="1:7" x14ac:dyDescent="0.3">
      <c r="A126" t="s">
        <v>180</v>
      </c>
      <c r="B126" t="s">
        <v>181</v>
      </c>
      <c r="C126" s="13"/>
      <c r="D126" s="13">
        <v>0</v>
      </c>
      <c r="E126" s="13">
        <f t="shared" si="4"/>
        <v>0</v>
      </c>
      <c r="F126" s="13">
        <f t="shared" si="4"/>
        <v>0</v>
      </c>
      <c r="G126" s="13">
        <f t="shared" si="4"/>
        <v>0</v>
      </c>
    </row>
    <row r="127" spans="1:7" x14ac:dyDescent="0.3">
      <c r="A127" t="s">
        <v>146</v>
      </c>
      <c r="B127" s="46" t="s">
        <v>182</v>
      </c>
      <c r="C127" s="13">
        <v>100</v>
      </c>
      <c r="D127" s="14">
        <v>0.17</v>
      </c>
      <c r="E127" s="13">
        <f>C127</f>
        <v>100</v>
      </c>
      <c r="F127" s="13">
        <f>$C127+($D127*F$123)</f>
        <v>155.25</v>
      </c>
      <c r="G127" s="13">
        <f>F127</f>
        <v>155.25</v>
      </c>
    </row>
    <row r="128" spans="1:7" x14ac:dyDescent="0.3">
      <c r="A128" t="s">
        <v>183</v>
      </c>
      <c r="B128" t="s">
        <v>184</v>
      </c>
      <c r="C128" s="13">
        <v>1500</v>
      </c>
      <c r="D128" s="13">
        <v>0</v>
      </c>
      <c r="E128" s="13">
        <f>C128</f>
        <v>1500</v>
      </c>
      <c r="F128" s="13">
        <f>E128</f>
        <v>1500</v>
      </c>
      <c r="G128" s="13">
        <f>F128</f>
        <v>1500</v>
      </c>
    </row>
    <row r="129" spans="1:8" x14ac:dyDescent="0.3">
      <c r="D129" s="39" t="s">
        <v>127</v>
      </c>
      <c r="E129" s="40">
        <f>SUM(E124:E128)</f>
        <v>1600</v>
      </c>
      <c r="F129" s="40">
        <f>SUM(F124:F128)</f>
        <v>1655.25</v>
      </c>
      <c r="G129" s="40">
        <f>SUM(G124:G128)</f>
        <v>1655.25</v>
      </c>
    </row>
    <row r="130" spans="1:8" x14ac:dyDescent="0.3">
      <c r="A130" s="7" t="s">
        <v>62</v>
      </c>
      <c r="C130" s="13"/>
      <c r="D130" s="13"/>
      <c r="E130" s="13"/>
      <c r="F130" s="13"/>
    </row>
    <row r="131" spans="1:8" x14ac:dyDescent="0.3">
      <c r="A131" t="s">
        <v>177</v>
      </c>
      <c r="B131" t="s">
        <v>710</v>
      </c>
      <c r="C131" s="13">
        <v>50</v>
      </c>
      <c r="D131" s="37">
        <v>0</v>
      </c>
      <c r="E131" s="13">
        <f>$C131+($D131*E$123)</f>
        <v>50</v>
      </c>
      <c r="F131" s="13">
        <f>$C131+($D131*F$123)</f>
        <v>50</v>
      </c>
      <c r="G131" s="13">
        <f>F131*(1+(IF('Attributes Inputs and Outputs'!$O$8=Inputs!$C$44,Inputs!$C$45,IF('Attributes Inputs and Outputs'!$O$8=Inputs!$D$44,Inputs!$D$45,IF('Attributes Inputs and Outputs'!$O$8=Inputs!$E$44,Inputs!$E$45,IF('Attributes Inputs and Outputs'!$O$8=Inputs!$F$44,Inputs!$F$45,Inputs!$G$45))))))</f>
        <v>50</v>
      </c>
    </row>
    <row r="132" spans="1:8" x14ac:dyDescent="0.3">
      <c r="A132" t="s">
        <v>185</v>
      </c>
      <c r="B132" t="s">
        <v>186</v>
      </c>
      <c r="C132" s="13"/>
      <c r="D132" s="37">
        <v>1.5</v>
      </c>
      <c r="E132" s="13">
        <f>$C132+($D132*E$123)</f>
        <v>487.5</v>
      </c>
      <c r="F132" s="13">
        <f>$C132+($D132*F$123)</f>
        <v>487.5</v>
      </c>
      <c r="G132" s="13">
        <f>F132*(1+(Inputs!$C$43*('Attributes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487.5</v>
      </c>
    </row>
    <row r="133" spans="1:8" x14ac:dyDescent="0.3">
      <c r="A133" t="s">
        <v>180</v>
      </c>
      <c r="B133" t="s">
        <v>187</v>
      </c>
      <c r="C133" s="13"/>
      <c r="D133" s="13">
        <v>0</v>
      </c>
      <c r="E133" s="13">
        <f>D133</f>
        <v>0</v>
      </c>
      <c r="F133" s="13">
        <f>E133</f>
        <v>0</v>
      </c>
      <c r="G133" s="13">
        <f>F133</f>
        <v>0</v>
      </c>
    </row>
    <row r="134" spans="1:8" x14ac:dyDescent="0.3">
      <c r="A134" t="s">
        <v>146</v>
      </c>
      <c r="B134" t="s">
        <v>188</v>
      </c>
      <c r="C134" s="13">
        <f>150+125*4</f>
        <v>650</v>
      </c>
      <c r="D134" s="37">
        <v>1.1000000000000001</v>
      </c>
      <c r="E134" s="13">
        <f>C134</f>
        <v>650</v>
      </c>
      <c r="F134" s="13">
        <f>$C134+($D134*F$123)</f>
        <v>1007.5</v>
      </c>
      <c r="G134" s="13">
        <f>F134</f>
        <v>1007.5</v>
      </c>
    </row>
    <row r="135" spans="1:8" x14ac:dyDescent="0.3">
      <c r="A135" t="s">
        <v>183</v>
      </c>
      <c r="B135" t="s">
        <v>189</v>
      </c>
      <c r="C135" s="13">
        <v>2500</v>
      </c>
      <c r="D135" s="13">
        <v>0</v>
      </c>
      <c r="E135" s="13">
        <f>C135</f>
        <v>2500</v>
      </c>
      <c r="F135" s="13">
        <f>E135</f>
        <v>2500</v>
      </c>
      <c r="G135" s="13">
        <f>F135</f>
        <v>2500</v>
      </c>
    </row>
    <row r="136" spans="1:8" x14ac:dyDescent="0.3">
      <c r="D136" s="39" t="s">
        <v>130</v>
      </c>
      <c r="E136" s="40">
        <f>SUM(E131:E135)</f>
        <v>3687.5</v>
      </c>
      <c r="F136" s="40">
        <f>SUM(F131:F135)</f>
        <v>4045</v>
      </c>
      <c r="G136" s="40">
        <f>SUM(G131:G135)</f>
        <v>4045</v>
      </c>
    </row>
    <row r="137" spans="1:8" x14ac:dyDescent="0.3">
      <c r="A137" s="7" t="s">
        <v>63</v>
      </c>
      <c r="F137" s="13"/>
    </row>
    <row r="138" spans="1:8" x14ac:dyDescent="0.3">
      <c r="A138" t="s">
        <v>177</v>
      </c>
      <c r="B138" t="s">
        <v>711</v>
      </c>
      <c r="C138" s="13"/>
      <c r="D138" s="37">
        <f>4+4.6</f>
        <v>8.6</v>
      </c>
      <c r="E138" s="13">
        <f t="shared" ref="E138:F140" si="5">$C138+($D138*E$123)</f>
        <v>2795</v>
      </c>
      <c r="F138" s="13">
        <f t="shared" si="5"/>
        <v>2795</v>
      </c>
      <c r="G138" s="13">
        <f>F138*(1+(Inputs!$C$43*('Attributes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2795</v>
      </c>
      <c r="H138" s="13"/>
    </row>
    <row r="139" spans="1:8" x14ac:dyDescent="0.3">
      <c r="A139" t="s">
        <v>178</v>
      </c>
      <c r="B139" t="s">
        <v>190</v>
      </c>
      <c r="C139" s="13"/>
      <c r="D139" s="37">
        <f>3+7</f>
        <v>10</v>
      </c>
      <c r="E139" s="13">
        <f t="shared" si="5"/>
        <v>3250</v>
      </c>
      <c r="F139" s="13">
        <f t="shared" si="5"/>
        <v>3250</v>
      </c>
      <c r="G139" s="13">
        <f>F139*(1+(Inputs!$C$43*('Attributes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3250</v>
      </c>
      <c r="H139" s="13"/>
    </row>
    <row r="140" spans="1:8" x14ac:dyDescent="0.3">
      <c r="A140" t="s">
        <v>180</v>
      </c>
      <c r="B140" t="s">
        <v>191</v>
      </c>
      <c r="C140" s="13"/>
      <c r="D140" s="14">
        <f>150/60</f>
        <v>2.5</v>
      </c>
      <c r="E140" s="13">
        <f t="shared" si="5"/>
        <v>812.5</v>
      </c>
      <c r="F140" s="13">
        <f t="shared" si="5"/>
        <v>812.5</v>
      </c>
      <c r="G140" s="13">
        <f>F140*('Attributes Inputs and Outputs'!$L$8/'Defaults and Ranges'!$O$6)</f>
        <v>812.5</v>
      </c>
      <c r="H140" s="13"/>
    </row>
    <row r="141" spans="1:8" x14ac:dyDescent="0.3">
      <c r="A141" t="s">
        <v>146</v>
      </c>
      <c r="B141" t="s">
        <v>192</v>
      </c>
      <c r="C141" s="13">
        <f>800+300+125*4</f>
        <v>1600</v>
      </c>
      <c r="D141" s="37">
        <v>1.3</v>
      </c>
      <c r="E141" s="13">
        <f>C141</f>
        <v>1600</v>
      </c>
      <c r="F141" s="13">
        <f>$C141+($D141*F$123)</f>
        <v>2022.5</v>
      </c>
      <c r="G141" s="13">
        <f>F141</f>
        <v>2022.5</v>
      </c>
      <c r="H141" s="13"/>
    </row>
    <row r="142" spans="1:8" x14ac:dyDescent="0.3">
      <c r="A142" t="s">
        <v>183</v>
      </c>
      <c r="B142" t="s">
        <v>193</v>
      </c>
      <c r="C142" s="13">
        <f>5500+(7+10)*6*9</f>
        <v>6418</v>
      </c>
      <c r="D142" s="13"/>
      <c r="E142" s="13">
        <f>C142</f>
        <v>6418</v>
      </c>
      <c r="F142" s="13">
        <f>E142</f>
        <v>6418</v>
      </c>
      <c r="G142" s="13">
        <f>F142*(1+(Inputs!$C$43*('Attributes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c r="H142" s="13"/>
    </row>
    <row r="143" spans="1:8" x14ac:dyDescent="0.3">
      <c r="D143" s="39" t="s">
        <v>133</v>
      </c>
      <c r="E143" s="40">
        <f>SUM(E138:E142)</f>
        <v>14875.5</v>
      </c>
      <c r="F143" s="40">
        <f>SUM(F138:F142)</f>
        <v>15298</v>
      </c>
      <c r="G143" s="40">
        <f>SUM(G138:G142)</f>
        <v>15298</v>
      </c>
    </row>
    <row r="144" spans="1:8" x14ac:dyDescent="0.3">
      <c r="A144" s="7" t="s">
        <v>64</v>
      </c>
      <c r="B144" s="13"/>
      <c r="F144" s="13"/>
      <c r="G144" t="s">
        <v>194</v>
      </c>
    </row>
    <row r="145" spans="1:11" x14ac:dyDescent="0.3">
      <c r="A145" t="s">
        <v>177</v>
      </c>
      <c r="B145" t="s">
        <v>711</v>
      </c>
      <c r="C145" s="13"/>
      <c r="D145" s="37">
        <f>6+10.4</f>
        <v>16.399999999999999</v>
      </c>
      <c r="E145" s="13">
        <f t="shared" ref="E145:F147" si="6">$C145+($D145*E$123)</f>
        <v>5329.9999999999991</v>
      </c>
      <c r="F145" s="13">
        <f t="shared" si="6"/>
        <v>5329.9999999999991</v>
      </c>
      <c r="G145" s="13">
        <f>F145*(1+(Inputs!$C$43*('Attributes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5329.9999999999991</v>
      </c>
    </row>
    <row r="146" spans="1:11" x14ac:dyDescent="0.3">
      <c r="A146" t="s">
        <v>178</v>
      </c>
      <c r="B146" s="47" t="s">
        <v>195</v>
      </c>
      <c r="C146" s="13"/>
      <c r="D146" s="13">
        <f>5+3</f>
        <v>8</v>
      </c>
      <c r="E146" s="13">
        <f t="shared" si="6"/>
        <v>2600</v>
      </c>
      <c r="F146" s="13">
        <f t="shared" si="6"/>
        <v>2600</v>
      </c>
      <c r="G146" s="13">
        <f>F146*(1+(Inputs!$C$43*('Attributes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2600</v>
      </c>
    </row>
    <row r="147" spans="1:11" x14ac:dyDescent="0.3">
      <c r="A147" t="s">
        <v>180</v>
      </c>
      <c r="B147" t="s">
        <v>136</v>
      </c>
      <c r="C147" s="13"/>
      <c r="D147" s="14">
        <f>300/60</f>
        <v>5</v>
      </c>
      <c r="E147" s="13">
        <f t="shared" si="6"/>
        <v>1625</v>
      </c>
      <c r="F147" s="13">
        <f t="shared" si="6"/>
        <v>1625</v>
      </c>
      <c r="G147" s="13">
        <f>F147*('Attributes Inputs and Outputs'!$L$8/'Defaults and Ranges'!$P$6)</f>
        <v>1625</v>
      </c>
    </row>
    <row r="148" spans="1:11" x14ac:dyDescent="0.3">
      <c r="A148" t="s">
        <v>146</v>
      </c>
      <c r="B148" t="s">
        <v>196</v>
      </c>
      <c r="C148" s="13">
        <f>1600+500+500+125*4</f>
        <v>3100</v>
      </c>
      <c r="D148" s="37">
        <v>2</v>
      </c>
      <c r="E148" s="13">
        <f>C148</f>
        <v>3100</v>
      </c>
      <c r="F148" s="13">
        <f>$C148+($D148*F$123)</f>
        <v>3750</v>
      </c>
      <c r="G148" s="13">
        <f>F148</f>
        <v>3750</v>
      </c>
    </row>
    <row r="149" spans="1:11" x14ac:dyDescent="0.3">
      <c r="A149" t="s">
        <v>183</v>
      </c>
      <c r="B149" t="s">
        <v>197</v>
      </c>
      <c r="C149" s="13">
        <f>10000+(7+20)*8*9*2</f>
        <v>13888</v>
      </c>
      <c r="D149" s="13"/>
      <c r="E149" s="13">
        <f>C149</f>
        <v>13888</v>
      </c>
      <c r="F149" s="13">
        <f>E149</f>
        <v>13888</v>
      </c>
      <c r="G149" s="13">
        <f>F149*(1+(Inputs!$C$43*('Attributes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13888</v>
      </c>
    </row>
    <row r="150" spans="1:11" ht="15.6" customHeight="1" x14ac:dyDescent="0.3">
      <c r="D150" s="39" t="s">
        <v>137</v>
      </c>
      <c r="E150" s="40">
        <f>SUM(E145:E149)</f>
        <v>26543</v>
      </c>
      <c r="F150" s="40">
        <f>SUM(F145:F149)</f>
        <v>27193</v>
      </c>
      <c r="G150" s="40">
        <f>SUM(G145:G149)</f>
        <v>27193</v>
      </c>
    </row>
    <row r="152" spans="1:11" x14ac:dyDescent="0.3">
      <c r="E152" t="s">
        <v>108</v>
      </c>
      <c r="F152" t="s">
        <v>158</v>
      </c>
      <c r="G152" t="s">
        <v>159</v>
      </c>
    </row>
    <row r="153" spans="1:11" x14ac:dyDescent="0.3">
      <c r="B153" t="s">
        <v>85</v>
      </c>
      <c r="F153" s="34">
        <v>1.4999999999999999E-2</v>
      </c>
    </row>
    <row r="154" spans="1:11" ht="15" thickBot="1" x14ac:dyDescent="0.35">
      <c r="A154" s="7" t="s">
        <v>61</v>
      </c>
      <c r="D154" t="s">
        <v>139</v>
      </c>
      <c r="E154" s="16">
        <v>60</v>
      </c>
      <c r="F154" s="11">
        <f>E154+('Attributes Back Calcs'!$G$10-'Defaults and Ranges'!$D$7)*F153</f>
        <v>60</v>
      </c>
    </row>
    <row r="155" spans="1:11" x14ac:dyDescent="0.3">
      <c r="A155" t="s">
        <v>198</v>
      </c>
      <c r="B155" t="s">
        <v>1417</v>
      </c>
      <c r="C155" s="13">
        <v>1000</v>
      </c>
      <c r="D155" s="37"/>
      <c r="E155" s="13">
        <f>C155</f>
        <v>1000</v>
      </c>
      <c r="F155" s="13">
        <f t="shared" ref="F155:G157" si="7">E155</f>
        <v>1000</v>
      </c>
      <c r="G155" s="13">
        <f t="shared" si="7"/>
        <v>1000</v>
      </c>
      <c r="I155" s="70" t="s">
        <v>995</v>
      </c>
      <c r="J155" s="71"/>
      <c r="K155" s="72"/>
    </row>
    <row r="156" spans="1:11" x14ac:dyDescent="0.3">
      <c r="A156" t="s">
        <v>199</v>
      </c>
      <c r="B156" t="s">
        <v>187</v>
      </c>
      <c r="C156" s="13"/>
      <c r="D156" s="13">
        <v>0</v>
      </c>
      <c r="E156" s="13">
        <f>D156</f>
        <v>0</v>
      </c>
      <c r="F156" s="13">
        <f t="shared" si="7"/>
        <v>0</v>
      </c>
      <c r="G156" s="13">
        <f t="shared" si="7"/>
        <v>0</v>
      </c>
      <c r="I156" s="73" t="s">
        <v>988</v>
      </c>
      <c r="J156" t="s">
        <v>992</v>
      </c>
      <c r="K156" s="74" t="s">
        <v>994</v>
      </c>
    </row>
    <row r="157" spans="1:11" x14ac:dyDescent="0.3">
      <c r="A157" t="s">
        <v>200</v>
      </c>
      <c r="B157" t="s">
        <v>187</v>
      </c>
      <c r="C157" s="13"/>
      <c r="D157" s="13">
        <v>0</v>
      </c>
      <c r="E157" s="13">
        <f>D157</f>
        <v>0</v>
      </c>
      <c r="F157" s="13">
        <f t="shared" si="7"/>
        <v>0</v>
      </c>
      <c r="G157" s="13">
        <f t="shared" si="7"/>
        <v>0</v>
      </c>
      <c r="I157" s="73" t="s">
        <v>61</v>
      </c>
      <c r="J157">
        <v>1</v>
      </c>
      <c r="K157" s="74">
        <v>1</v>
      </c>
    </row>
    <row r="158" spans="1:11" x14ac:dyDescent="0.3">
      <c r="A158" t="s">
        <v>201</v>
      </c>
      <c r="B158" s="46" t="s">
        <v>187</v>
      </c>
      <c r="C158" s="13"/>
      <c r="D158" s="14">
        <v>0</v>
      </c>
      <c r="E158" s="13">
        <f>C158</f>
        <v>0</v>
      </c>
      <c r="F158" s="13">
        <f>$C158+($D158*F$154)</f>
        <v>0</v>
      </c>
      <c r="G158" s="13">
        <f>F158</f>
        <v>0</v>
      </c>
      <c r="I158" s="73" t="s">
        <v>63</v>
      </c>
      <c r="J158">
        <v>7</v>
      </c>
      <c r="K158" s="82">
        <f>J158*(IF('Attributes Calculations'!$E$16&gt;4200,'Attributes Calculations'!$E$16 /4200, 1))</f>
        <v>7</v>
      </c>
    </row>
    <row r="159" spans="1:11" x14ac:dyDescent="0.3">
      <c r="A159" t="s">
        <v>202</v>
      </c>
      <c r="B159" t="s">
        <v>712</v>
      </c>
      <c r="C159" s="13"/>
      <c r="D159" s="13">
        <v>0</v>
      </c>
      <c r="E159" s="13">
        <f>C159</f>
        <v>0</v>
      </c>
      <c r="F159" s="13">
        <f>E159</f>
        <v>0</v>
      </c>
      <c r="G159" s="13">
        <f>F159</f>
        <v>0</v>
      </c>
      <c r="I159" s="73" t="s">
        <v>64</v>
      </c>
      <c r="J159">
        <v>8</v>
      </c>
      <c r="K159" s="82">
        <f>J159*(IF('Attributes Calculations'!$E$16&gt;4200,'Attributes Calculations'!$E$16 /4200, 1))</f>
        <v>8</v>
      </c>
    </row>
    <row r="160" spans="1:11" x14ac:dyDescent="0.3">
      <c r="A160" t="s">
        <v>203</v>
      </c>
      <c r="B160" t="s">
        <v>204</v>
      </c>
      <c r="C160" s="13">
        <v>400</v>
      </c>
      <c r="D160" s="37"/>
      <c r="E160" s="13">
        <f>C160</f>
        <v>400</v>
      </c>
      <c r="F160" s="13">
        <f>C160</f>
        <v>400</v>
      </c>
      <c r="G160" s="13">
        <f>F160*(1+(IF('Attributes Inputs and Outputs'!$O$8=Inputs!$C$44,Inputs!$C$45,IF('Attributes Inputs and Outputs'!$O$8=Inputs!$D$44,Inputs!$D$45,IF('Attributes Inputs and Outputs'!$O$8=Inputs!$E$44,Inputs!$E$45,IF('Attributes Inputs and Outputs'!$O$8=Inputs!$F$44,Inputs!$F$45,Inputs!$G$45))))))</f>
        <v>400</v>
      </c>
      <c r="I160" s="73" t="s">
        <v>62</v>
      </c>
      <c r="J160">
        <v>2</v>
      </c>
      <c r="K160" s="82">
        <f>J160*(IF('Attributes Calculations'!$E$16&gt;4200,'Attributes Calculations'!$E$16 /4200, 1))</f>
        <v>2</v>
      </c>
    </row>
    <row r="161" spans="1:11" x14ac:dyDescent="0.3">
      <c r="A161" t="s">
        <v>146</v>
      </c>
      <c r="B161" t="s">
        <v>205</v>
      </c>
      <c r="C161" s="13">
        <v>100</v>
      </c>
      <c r="D161" s="37"/>
      <c r="E161" s="13">
        <f>C161</f>
        <v>100</v>
      </c>
      <c r="F161" s="13">
        <f>E161</f>
        <v>100</v>
      </c>
      <c r="G161" s="13">
        <f>F161</f>
        <v>100</v>
      </c>
      <c r="I161" s="73"/>
      <c r="K161" s="74"/>
    </row>
    <row r="162" spans="1:11" ht="15" thickBot="1" x14ac:dyDescent="0.35">
      <c r="D162" s="39" t="s">
        <v>127</v>
      </c>
      <c r="E162" s="40">
        <f>SUM(E155:E161)</f>
        <v>1500</v>
      </c>
      <c r="F162" s="40">
        <f>SUM(F155:F161)</f>
        <v>1500</v>
      </c>
      <c r="G162" s="40">
        <f>SUM(G155:G161)</f>
        <v>1500</v>
      </c>
      <c r="I162" s="75"/>
      <c r="J162" s="76" t="s">
        <v>990</v>
      </c>
      <c r="K162" s="83">
        <f>LOOKUP('Packages Inputs and Outputs'!E27, 'Package Price Back Calcs'!$I$157:$I$160, 'Package Price Back Calcs'!$K$157:$K$160)</f>
        <v>2</v>
      </c>
    </row>
    <row r="163" spans="1:11" x14ac:dyDescent="0.3">
      <c r="A163" s="7" t="s">
        <v>62</v>
      </c>
      <c r="C163" s="13"/>
      <c r="D163" s="13"/>
      <c r="E163" s="13"/>
      <c r="F163" s="13"/>
    </row>
    <row r="164" spans="1:11" x14ac:dyDescent="0.3">
      <c r="A164" t="s">
        <v>198</v>
      </c>
      <c r="B164" t="s">
        <v>1416</v>
      </c>
      <c r="C164" s="13">
        <v>1500</v>
      </c>
      <c r="D164" s="37"/>
      <c r="E164" s="13">
        <f>C164</f>
        <v>1500</v>
      </c>
      <c r="F164" s="13">
        <f>E164</f>
        <v>1500</v>
      </c>
      <c r="G164" s="13">
        <f>F164</f>
        <v>1500</v>
      </c>
    </row>
    <row r="165" spans="1:11" x14ac:dyDescent="0.3">
      <c r="A165" t="s">
        <v>199</v>
      </c>
      <c r="B165" t="s">
        <v>207</v>
      </c>
      <c r="C165" s="13">
        <f>2500+400</f>
        <v>2900</v>
      </c>
      <c r="D165" s="37">
        <v>11</v>
      </c>
      <c r="E165" s="13">
        <f>C165</f>
        <v>2900</v>
      </c>
      <c r="F165" s="13">
        <f>$C165+($D165*F$154)</f>
        <v>3560</v>
      </c>
      <c r="G165" s="13">
        <f>F165*(1+(Inputs!$C$43*('Attributes Inputs and Outputs'!$M$8-'Defaults and Ranges'!$P$6)))*(1+(IF('Attributes Inputs and Outputs'!$O$8=Inputs!$C$44,Inputs!$C$45,IF('Attributes Inputs and Outputs'!$O$8=Inputs!$D$44,Inputs!$D$45,IF('Attributes Inputs and Outputs'!$O$8=Inputs!$E$44,Inputs!$E$45,IF('Attributes Inputs and Outputs'!$O$8=Inputs!$F$44,Inputs!$F$45,Inputs!$G$45))))))</f>
        <v>3560</v>
      </c>
    </row>
    <row r="166" spans="1:11" x14ac:dyDescent="0.3">
      <c r="A166" t="s">
        <v>200</v>
      </c>
      <c r="B166" t="s">
        <v>208</v>
      </c>
      <c r="C166" s="13"/>
      <c r="D166" s="13">
        <f>6*2*35/E$154</f>
        <v>7</v>
      </c>
      <c r="E166" s="13">
        <f>$C166+($D166*E$154)</f>
        <v>420</v>
      </c>
      <c r="F166" s="13">
        <f>$C166+($D166*F$154)</f>
        <v>420</v>
      </c>
      <c r="G166" s="13">
        <f>F166*(1+(IF('Attributes Inputs and Outputs'!$O$8=Inputs!$C$44,Inputs!$C$45,IF('Attributes Inputs and Outputs'!$O$8=Inputs!$D$44,Inputs!$D$45,IF('Attributes Inputs and Outputs'!$O$8=Inputs!$E$44,Inputs!$E$45,IF('Attributes Inputs and Outputs'!$O$8=Inputs!$F$44,Inputs!$F$45,Inputs!$G$45))))))</f>
        <v>420</v>
      </c>
    </row>
    <row r="167" spans="1:11" x14ac:dyDescent="0.3">
      <c r="A167" t="s">
        <v>201</v>
      </c>
      <c r="B167" s="46" t="s">
        <v>167</v>
      </c>
      <c r="C167" s="13">
        <f>100+200</f>
        <v>300</v>
      </c>
      <c r="D167" s="37">
        <v>1</v>
      </c>
      <c r="E167" s="13">
        <f>C167</f>
        <v>300</v>
      </c>
      <c r="F167" s="13">
        <f>$C167+($D167*F$154)</f>
        <v>360</v>
      </c>
      <c r="G167" s="13">
        <f>F167</f>
        <v>360</v>
      </c>
    </row>
    <row r="168" spans="1:11" x14ac:dyDescent="0.3">
      <c r="A168" t="s">
        <v>202</v>
      </c>
      <c r="B168" t="s">
        <v>712</v>
      </c>
      <c r="C168" s="13"/>
      <c r="D168" s="13"/>
      <c r="E168" s="13">
        <f>C168</f>
        <v>0</v>
      </c>
      <c r="F168" s="13">
        <f>E168</f>
        <v>0</v>
      </c>
      <c r="G168" s="13">
        <f>F168</f>
        <v>0</v>
      </c>
    </row>
    <row r="169" spans="1:11" x14ac:dyDescent="0.3">
      <c r="A169" t="s">
        <v>203</v>
      </c>
      <c r="B169" t="s">
        <v>1368</v>
      </c>
      <c r="C169" s="13"/>
      <c r="D169" s="37">
        <f>4+1+10</f>
        <v>15</v>
      </c>
      <c r="E169" s="13">
        <f>$C169+($D169*E$154)</f>
        <v>900</v>
      </c>
      <c r="F169" s="13">
        <f>$C169+($D169*F$154)</f>
        <v>900</v>
      </c>
      <c r="G169" s="13">
        <f>F169*(1+(IF('Attributes Inputs and Outputs'!$O$8=Inputs!$C$44,Inputs!$C$45,IF('Attributes Inputs and Outputs'!$O$8=Inputs!$D$44,Inputs!$D$45,IF('Attributes Inputs and Outputs'!$O$8=Inputs!$E$44,Inputs!$E$45,IF('Attributes Inputs and Outputs'!$O$8=Inputs!$F$44,Inputs!$F$45,Inputs!$G$45))))))</f>
        <v>900</v>
      </c>
    </row>
    <row r="170" spans="1:11" x14ac:dyDescent="0.3">
      <c r="A170" t="s">
        <v>146</v>
      </c>
      <c r="B170" t="s">
        <v>209</v>
      </c>
      <c r="C170" s="13">
        <f>150*2</f>
        <v>300</v>
      </c>
      <c r="D170" s="37">
        <v>2</v>
      </c>
      <c r="E170" s="13">
        <f>C170</f>
        <v>300</v>
      </c>
      <c r="F170" s="13">
        <f>$C170+($D170*F$154)</f>
        <v>420</v>
      </c>
      <c r="G170" s="13">
        <f>F170</f>
        <v>420</v>
      </c>
    </row>
    <row r="171" spans="1:11" x14ac:dyDescent="0.3">
      <c r="D171" s="39" t="s">
        <v>130</v>
      </c>
      <c r="E171" s="40">
        <f>SUM(E164:E170)</f>
        <v>6320</v>
      </c>
      <c r="F171" s="40">
        <f>SUM(F164:F170)</f>
        <v>7160</v>
      </c>
      <c r="G171" s="40">
        <f>SUM(G164:G170)</f>
        <v>7160</v>
      </c>
    </row>
    <row r="172" spans="1:11" x14ac:dyDescent="0.3">
      <c r="A172" s="7" t="s">
        <v>63</v>
      </c>
      <c r="F172" s="13"/>
    </row>
    <row r="173" spans="1:11" x14ac:dyDescent="0.3">
      <c r="A173" t="s">
        <v>198</v>
      </c>
      <c r="B173" t="s">
        <v>1432</v>
      </c>
      <c r="C173" s="13">
        <v>3000</v>
      </c>
      <c r="D173" s="37"/>
      <c r="E173" s="13">
        <f>C173</f>
        <v>3000</v>
      </c>
      <c r="F173" s="13">
        <f>E173</f>
        <v>3000</v>
      </c>
      <c r="G173" s="13">
        <f>F173</f>
        <v>3000</v>
      </c>
    </row>
    <row r="174" spans="1:11" x14ac:dyDescent="0.3">
      <c r="A174" t="s">
        <v>199</v>
      </c>
      <c r="B174" t="s">
        <v>211</v>
      </c>
      <c r="C174" s="13">
        <f>10000+1000</f>
        <v>11000</v>
      </c>
      <c r="D174" s="37">
        <v>20</v>
      </c>
      <c r="E174" s="13">
        <f>C174</f>
        <v>11000</v>
      </c>
      <c r="F174" s="13">
        <f t="shared" ref="F174:F179" si="8">$C174+($D174*F$154)</f>
        <v>12200</v>
      </c>
      <c r="G174" s="13">
        <f>F174*(1+(Inputs!$C$43*('Attributes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12200</v>
      </c>
    </row>
    <row r="175" spans="1:11" x14ac:dyDescent="0.3">
      <c r="A175" t="s">
        <v>200</v>
      </c>
      <c r="B175" t="s">
        <v>212</v>
      </c>
      <c r="C175" s="13">
        <f>10*2*50</f>
        <v>1000</v>
      </c>
      <c r="D175" s="37">
        <v>3.5</v>
      </c>
      <c r="E175" s="13">
        <f>C175</f>
        <v>1000</v>
      </c>
      <c r="F175" s="13">
        <f t="shared" si="8"/>
        <v>1210</v>
      </c>
      <c r="G175" s="13">
        <f>F175*(1+(Inputs!$C$43*('Attributes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1210</v>
      </c>
    </row>
    <row r="176" spans="1:11" x14ac:dyDescent="0.3">
      <c r="A176" t="s">
        <v>201</v>
      </c>
      <c r="B176" t="s">
        <v>171</v>
      </c>
      <c r="C176" s="13">
        <f>400+450</f>
        <v>850</v>
      </c>
      <c r="D176" s="13">
        <v>1</v>
      </c>
      <c r="E176" s="13">
        <f>C176</f>
        <v>850</v>
      </c>
      <c r="F176" s="13">
        <f t="shared" si="8"/>
        <v>910</v>
      </c>
      <c r="G176" s="13">
        <f>F176</f>
        <v>910</v>
      </c>
    </row>
    <row r="177" spans="1:7" x14ac:dyDescent="0.3">
      <c r="A177" t="s">
        <v>202</v>
      </c>
      <c r="B177" t="s">
        <v>713</v>
      </c>
      <c r="C177" s="13">
        <f>200+10*10+300</f>
        <v>600</v>
      </c>
      <c r="D177" s="13">
        <v>1</v>
      </c>
      <c r="E177" s="13">
        <f>C177</f>
        <v>600</v>
      </c>
      <c r="F177" s="13">
        <f t="shared" si="8"/>
        <v>660</v>
      </c>
      <c r="G177" s="13">
        <f>F177*(1+(Inputs!$C$43*('Attributes Inputs and Outputs'!$M$8-'Defaults and Ranges'!$P$6)))*(1+(IF('Attributes Inputs and Outputs'!$O$8=Inputs!$C$44,Inputs!$C$45,IF('Attributes Inputs and Outputs'!$O$8=Inputs!$D$44,Inputs!$D$45,IF('Attributes Inputs and Outputs'!$O$8=Inputs!$E$44,Inputs!$E$45,IF('Attributes Inputs and Outputs'!$O$8=Inputs!$F$44,Inputs!$F$45,Inputs!$G$45))))))</f>
        <v>660</v>
      </c>
    </row>
    <row r="178" spans="1:7" x14ac:dyDescent="0.3">
      <c r="A178" t="s">
        <v>203</v>
      </c>
      <c r="B178" t="s">
        <v>1369</v>
      </c>
      <c r="C178" s="13"/>
      <c r="D178" s="37">
        <f>8+1+12</f>
        <v>21</v>
      </c>
      <c r="E178" s="13">
        <f>$C178+($D178*E$154)</f>
        <v>1260</v>
      </c>
      <c r="F178" s="13">
        <f t="shared" si="8"/>
        <v>1260</v>
      </c>
      <c r="G178" s="13">
        <f>F178*(1+(IF('Attributes Inputs and Outputs'!$O$8=Inputs!$C$44,Inputs!$C$45,IF('Attributes Inputs and Outputs'!$O$8=Inputs!$D$44,Inputs!$D$45,IF('Attributes Inputs and Outputs'!$O$8=Inputs!$E$44,Inputs!$E$45,IF('Attributes Inputs and Outputs'!$O$8=Inputs!$F$44,Inputs!$F$45,Inputs!$G$45))))))</f>
        <v>1260</v>
      </c>
    </row>
    <row r="179" spans="1:7" x14ac:dyDescent="0.3">
      <c r="A179" t="s">
        <v>146</v>
      </c>
      <c r="B179" t="s">
        <v>213</v>
      </c>
      <c r="C179" s="13">
        <v>1000</v>
      </c>
      <c r="D179" s="37">
        <v>7</v>
      </c>
      <c r="E179" s="13">
        <f>C179</f>
        <v>1000</v>
      </c>
      <c r="F179" s="13">
        <f t="shared" si="8"/>
        <v>1420</v>
      </c>
      <c r="G179" s="13">
        <f>F179</f>
        <v>1420</v>
      </c>
    </row>
    <row r="180" spans="1:7" x14ac:dyDescent="0.3">
      <c r="D180" s="39" t="s">
        <v>133</v>
      </c>
      <c r="E180" s="40">
        <f>SUM(E173:E179)</f>
        <v>18710</v>
      </c>
      <c r="F180" s="40">
        <f>SUM(F173:F179)</f>
        <v>20660</v>
      </c>
      <c r="G180" s="40">
        <f>SUM(G173:G179)</f>
        <v>20660</v>
      </c>
    </row>
    <row r="181" spans="1:7" x14ac:dyDescent="0.3">
      <c r="A181" s="7" t="s">
        <v>64</v>
      </c>
      <c r="B181" s="13"/>
      <c r="F181" s="13"/>
      <c r="G181" t="s">
        <v>194</v>
      </c>
    </row>
    <row r="182" spans="1:7" x14ac:dyDescent="0.3">
      <c r="A182" t="s">
        <v>198</v>
      </c>
      <c r="B182" t="s">
        <v>1433</v>
      </c>
      <c r="C182" s="13">
        <f>1500*4+1100</f>
        <v>7100</v>
      </c>
      <c r="D182" s="37"/>
      <c r="E182" s="13">
        <f>C182</f>
        <v>7100</v>
      </c>
      <c r="F182" s="13">
        <f>E182</f>
        <v>7100</v>
      </c>
      <c r="G182" s="13">
        <f>F182</f>
        <v>7100</v>
      </c>
    </row>
    <row r="183" spans="1:7" x14ac:dyDescent="0.3">
      <c r="A183" t="s">
        <v>199</v>
      </c>
      <c r="B183" t="s">
        <v>214</v>
      </c>
      <c r="C183" s="13">
        <f>15000+1500</f>
        <v>16500</v>
      </c>
      <c r="D183" s="37">
        <v>38</v>
      </c>
      <c r="E183" s="13">
        <f>C183</f>
        <v>16500</v>
      </c>
      <c r="F183" s="13">
        <f t="shared" ref="F183:F188" si="9">$C183+($D183*F$154)</f>
        <v>18780</v>
      </c>
      <c r="G183" s="13">
        <f>F183*(1+(Inputs!$C$43*('Attributes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18780</v>
      </c>
    </row>
    <row r="184" spans="1:7" x14ac:dyDescent="0.3">
      <c r="A184" t="s">
        <v>200</v>
      </c>
      <c r="B184" t="s">
        <v>215</v>
      </c>
      <c r="C184" s="13">
        <f>10*2*75</f>
        <v>1500</v>
      </c>
      <c r="D184" s="37">
        <v>5</v>
      </c>
      <c r="E184" s="13">
        <f>C184</f>
        <v>1500</v>
      </c>
      <c r="F184" s="13">
        <f t="shared" si="9"/>
        <v>1800</v>
      </c>
      <c r="G184" s="13">
        <f>F184*(1+(Inputs!$C$43*('Attributes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1800</v>
      </c>
    </row>
    <row r="185" spans="1:7" x14ac:dyDescent="0.3">
      <c r="A185" t="s">
        <v>201</v>
      </c>
      <c r="B185" t="s">
        <v>216</v>
      </c>
      <c r="C185" s="13">
        <f>1500+800</f>
        <v>2300</v>
      </c>
      <c r="D185" s="13">
        <v>3</v>
      </c>
      <c r="E185" s="13">
        <f>C185</f>
        <v>2300</v>
      </c>
      <c r="F185" s="13">
        <f t="shared" si="9"/>
        <v>2480</v>
      </c>
      <c r="G185" s="13">
        <f>F185</f>
        <v>2480</v>
      </c>
    </row>
    <row r="186" spans="1:7" x14ac:dyDescent="0.3">
      <c r="A186" t="s">
        <v>202</v>
      </c>
      <c r="B186" t="s">
        <v>714</v>
      </c>
      <c r="C186" s="13">
        <f>200+100+20*150+600</f>
        <v>3900</v>
      </c>
      <c r="D186" s="37">
        <v>13</v>
      </c>
      <c r="E186" s="13">
        <f>C186</f>
        <v>3900</v>
      </c>
      <c r="F186" s="13">
        <f t="shared" si="9"/>
        <v>4680</v>
      </c>
      <c r="G186" s="13">
        <f>F186*(1+(Inputs!$C$43*('Attributes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4680</v>
      </c>
    </row>
    <row r="187" spans="1:7" x14ac:dyDescent="0.3">
      <c r="A187" t="s">
        <v>203</v>
      </c>
      <c r="B187" t="s">
        <v>1370</v>
      </c>
      <c r="C187" s="13"/>
      <c r="D187" s="37">
        <f>12+1+12</f>
        <v>25</v>
      </c>
      <c r="E187" s="13">
        <f>$C187+($D187*E$154)</f>
        <v>1500</v>
      </c>
      <c r="F187" s="13">
        <f t="shared" si="9"/>
        <v>1500</v>
      </c>
      <c r="G187" s="13">
        <f>F187*(1+(IF('Attributes Inputs and Outputs'!$O$8=Inputs!$C$44,Inputs!$C$45,IF('Attributes Inputs and Outputs'!$O$8=Inputs!$D$44,Inputs!$D$45,IF('Attributes Inputs and Outputs'!$O$8=Inputs!$E$44,Inputs!$E$45,IF('Attributes Inputs and Outputs'!$O$8=Inputs!$F$44,Inputs!$F$45,Inputs!$G$45))))))</f>
        <v>1500</v>
      </c>
    </row>
    <row r="188" spans="1:7" x14ac:dyDescent="0.3">
      <c r="A188" t="s">
        <v>146</v>
      </c>
      <c r="B188" t="s">
        <v>219</v>
      </c>
      <c r="C188" s="13">
        <f>6*125+400+500</f>
        <v>1650</v>
      </c>
      <c r="D188" s="37">
        <v>10</v>
      </c>
      <c r="E188" s="13">
        <f>C188</f>
        <v>1650</v>
      </c>
      <c r="F188" s="13">
        <f t="shared" si="9"/>
        <v>2250</v>
      </c>
      <c r="G188" s="13">
        <f>F188</f>
        <v>2250</v>
      </c>
    </row>
    <row r="189" spans="1:7" x14ac:dyDescent="0.3">
      <c r="D189" s="39" t="s">
        <v>137</v>
      </c>
      <c r="E189" s="40">
        <f>SUM(E182:E188)</f>
        <v>34450</v>
      </c>
      <c r="F189" s="40">
        <f>SUM(F182:F188)</f>
        <v>38590</v>
      </c>
      <c r="G189" s="40">
        <f>SUM(G182:G188)</f>
        <v>38590</v>
      </c>
    </row>
    <row r="191" spans="1:7" x14ac:dyDescent="0.3">
      <c r="E191" t="s">
        <v>108</v>
      </c>
      <c r="F191" t="s">
        <v>158</v>
      </c>
      <c r="G191" t="s">
        <v>159</v>
      </c>
    </row>
    <row r="192" spans="1:7" x14ac:dyDescent="0.3">
      <c r="B192" t="s">
        <v>48</v>
      </c>
      <c r="F192" s="34">
        <v>1.4999999999999999E-2</v>
      </c>
    </row>
    <row r="193" spans="1:11" ht="15" thickBot="1" x14ac:dyDescent="0.35">
      <c r="A193" s="7" t="s">
        <v>61</v>
      </c>
      <c r="D193" t="s">
        <v>139</v>
      </c>
      <c r="E193" s="16">
        <v>60</v>
      </c>
      <c r="F193" s="11">
        <f>E193+('Attributes Back Calcs'!$G$10-'Defaults and Ranges'!$D$7)*F192</f>
        <v>60</v>
      </c>
    </row>
    <row r="194" spans="1:11" x14ac:dyDescent="0.3">
      <c r="A194" t="s">
        <v>198</v>
      </c>
      <c r="B194" t="s">
        <v>1417</v>
      </c>
      <c r="C194" s="13">
        <v>1000</v>
      </c>
      <c r="D194" s="37"/>
      <c r="E194" s="13">
        <f>C194</f>
        <v>1000</v>
      </c>
      <c r="F194" s="13">
        <f t="shared" ref="F194:G196" si="10">E194</f>
        <v>1000</v>
      </c>
      <c r="G194" s="13">
        <f t="shared" si="10"/>
        <v>1000</v>
      </c>
      <c r="I194" s="70" t="s">
        <v>1000</v>
      </c>
      <c r="J194" s="71"/>
      <c r="K194" s="72"/>
    </row>
    <row r="195" spans="1:11" x14ac:dyDescent="0.3">
      <c r="A195" t="s">
        <v>199</v>
      </c>
      <c r="B195" t="s">
        <v>187</v>
      </c>
      <c r="C195" s="13"/>
      <c r="D195" s="13">
        <v>0</v>
      </c>
      <c r="E195" s="13">
        <f>D195</f>
        <v>0</v>
      </c>
      <c r="F195" s="13">
        <f t="shared" si="10"/>
        <v>0</v>
      </c>
      <c r="G195" s="13">
        <f t="shared" si="10"/>
        <v>0</v>
      </c>
      <c r="I195" s="73" t="s">
        <v>988</v>
      </c>
      <c r="J195" t="s">
        <v>992</v>
      </c>
      <c r="K195" s="74" t="s">
        <v>994</v>
      </c>
    </row>
    <row r="196" spans="1:11" x14ac:dyDescent="0.3">
      <c r="A196" t="s">
        <v>200</v>
      </c>
      <c r="B196" t="s">
        <v>187</v>
      </c>
      <c r="C196" s="13"/>
      <c r="D196" s="13">
        <v>0</v>
      </c>
      <c r="E196" s="13">
        <f>D196</f>
        <v>0</v>
      </c>
      <c r="F196" s="13">
        <f t="shared" si="10"/>
        <v>0</v>
      </c>
      <c r="G196" s="13">
        <f t="shared" si="10"/>
        <v>0</v>
      </c>
      <c r="I196" s="73" t="s">
        <v>61</v>
      </c>
      <c r="J196">
        <v>1</v>
      </c>
      <c r="K196" s="74">
        <v>1</v>
      </c>
    </row>
    <row r="197" spans="1:11" x14ac:dyDescent="0.3">
      <c r="A197" t="s">
        <v>201</v>
      </c>
      <c r="B197" s="46" t="s">
        <v>187</v>
      </c>
      <c r="C197" s="13"/>
      <c r="D197" s="14">
        <v>0</v>
      </c>
      <c r="E197" s="13">
        <f>C197</f>
        <v>0</v>
      </c>
      <c r="F197" s="13">
        <f>$C197+($D197*F$193)</f>
        <v>0</v>
      </c>
      <c r="G197" s="13">
        <f>F197</f>
        <v>0</v>
      </c>
      <c r="I197" s="73" t="s">
        <v>63</v>
      </c>
      <c r="J197">
        <v>7</v>
      </c>
      <c r="K197" s="82">
        <f>J197*(IF('Attributes Calculations'!$E$16&gt;4200,'Attributes Calculations'!$E$16 /4200, 1))</f>
        <v>7</v>
      </c>
    </row>
    <row r="198" spans="1:11" x14ac:dyDescent="0.3">
      <c r="A198" t="s">
        <v>202</v>
      </c>
      <c r="B198" t="s">
        <v>712</v>
      </c>
      <c r="C198" s="13"/>
      <c r="D198" s="13">
        <v>0</v>
      </c>
      <c r="E198" s="13">
        <f>C198</f>
        <v>0</v>
      </c>
      <c r="F198" s="13">
        <f>E198</f>
        <v>0</v>
      </c>
      <c r="G198" s="13">
        <f>F198</f>
        <v>0</v>
      </c>
      <c r="I198" s="73" t="s">
        <v>64</v>
      </c>
      <c r="J198">
        <v>8</v>
      </c>
      <c r="K198" s="82">
        <f>J198*(IF('Attributes Calculations'!$E$16&gt;4200,'Attributes Calculations'!$E$16 /4200, 1))</f>
        <v>8</v>
      </c>
    </row>
    <row r="199" spans="1:11" x14ac:dyDescent="0.3">
      <c r="A199" t="s">
        <v>203</v>
      </c>
      <c r="B199" t="s">
        <v>204</v>
      </c>
      <c r="C199" s="13">
        <v>400</v>
      </c>
      <c r="D199" s="37"/>
      <c r="E199" s="13">
        <f>C199</f>
        <v>400</v>
      </c>
      <c r="F199" s="13">
        <f>E199</f>
        <v>400</v>
      </c>
      <c r="G199" s="13">
        <f>F199*(1+(IF('Attributes Inputs and Outputs'!$O$8=Inputs!$C$44,Inputs!$C$45,IF('Attributes Inputs and Outputs'!$O$8=Inputs!$D$44,Inputs!$D$45,IF('Attributes Inputs and Outputs'!$O$8=Inputs!$E$44,Inputs!$E$45,IF('Attributes Inputs and Outputs'!$O$8=Inputs!$F$44,Inputs!$F$45,Inputs!$G$45))))))</f>
        <v>400</v>
      </c>
      <c r="I199" s="73" t="s">
        <v>62</v>
      </c>
      <c r="J199">
        <v>2</v>
      </c>
      <c r="K199" s="82">
        <f>J199*(IF('Attributes Calculations'!$E$16&gt;4200,'Attributes Calculations'!$E$16 /4200, 1))</f>
        <v>2</v>
      </c>
    </row>
    <row r="200" spans="1:11" x14ac:dyDescent="0.3">
      <c r="A200" t="s">
        <v>146</v>
      </c>
      <c r="B200" t="s">
        <v>205</v>
      </c>
      <c r="C200" s="13">
        <v>100</v>
      </c>
      <c r="D200" s="37"/>
      <c r="E200" s="13">
        <f>C200</f>
        <v>100</v>
      </c>
      <c r="F200" s="13">
        <f>E200</f>
        <v>100</v>
      </c>
      <c r="G200" s="13">
        <f>F200</f>
        <v>100</v>
      </c>
      <c r="I200" s="73"/>
      <c r="K200" s="74"/>
    </row>
    <row r="201" spans="1:11" ht="15" thickBot="1" x14ac:dyDescent="0.35">
      <c r="D201" s="39" t="s">
        <v>127</v>
      </c>
      <c r="E201" s="40">
        <f>SUM(E194:E200)</f>
        <v>1500</v>
      </c>
      <c r="F201" s="40">
        <f>SUM(F194:F200)</f>
        <v>1500</v>
      </c>
      <c r="G201" s="40">
        <f>SUM(G194:G200)</f>
        <v>1500</v>
      </c>
      <c r="I201" s="75"/>
      <c r="J201" s="76" t="s">
        <v>990</v>
      </c>
      <c r="K201" s="83">
        <f xml:space="preserve"> IF('Attributes Inputs and Outputs'!H16='Defaults and Ranges'!K32,  LOOKUP('Packages Inputs and Outputs'!E39, 'Package Price Back Calcs'!$I$157:$I$160, 'Package Price Back Calcs'!$K$157:$K$160), 0)</f>
        <v>0</v>
      </c>
    </row>
    <row r="202" spans="1:11" x14ac:dyDescent="0.3">
      <c r="A202" s="7" t="s">
        <v>62</v>
      </c>
      <c r="C202" s="13"/>
      <c r="D202" s="13"/>
      <c r="E202" s="13"/>
      <c r="F202" s="13"/>
    </row>
    <row r="203" spans="1:11" x14ac:dyDescent="0.3">
      <c r="A203" t="s">
        <v>198</v>
      </c>
      <c r="B203" t="s">
        <v>1416</v>
      </c>
      <c r="C203" s="13">
        <v>1500</v>
      </c>
      <c r="D203" s="37"/>
      <c r="E203" s="13">
        <f>C203</f>
        <v>1500</v>
      </c>
      <c r="F203" s="13">
        <f>E203</f>
        <v>1500</v>
      </c>
      <c r="G203" s="13">
        <f>F203</f>
        <v>1500</v>
      </c>
    </row>
    <row r="204" spans="1:11" x14ac:dyDescent="0.3">
      <c r="A204" t="s">
        <v>199</v>
      </c>
      <c r="B204" t="s">
        <v>207</v>
      </c>
      <c r="C204" s="13">
        <f>1500+400</f>
        <v>1900</v>
      </c>
      <c r="D204" s="37">
        <v>11</v>
      </c>
      <c r="E204" s="13">
        <f>C204</f>
        <v>1900</v>
      </c>
      <c r="F204" s="13">
        <f>$C204+($D204*F$193)</f>
        <v>2560</v>
      </c>
      <c r="G204" s="13">
        <f>F204*(1+(Inputs!$C$43*('Attributes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2560</v>
      </c>
    </row>
    <row r="205" spans="1:11" x14ac:dyDescent="0.3">
      <c r="A205" t="s">
        <v>200</v>
      </c>
      <c r="B205" t="s">
        <v>208</v>
      </c>
      <c r="C205" s="13"/>
      <c r="D205" s="51">
        <f>6*2*35/E$193</f>
        <v>7</v>
      </c>
      <c r="E205" s="13">
        <f>$C205+($D205*E$193)</f>
        <v>420</v>
      </c>
      <c r="F205" s="51">
        <f>$C205+($D205*F$193)</f>
        <v>420</v>
      </c>
      <c r="G205" s="13">
        <f>F205*(1+(IF('Attributes Inputs and Outputs'!$O$8=Inputs!$C$44,Inputs!$C$45,IF('Attributes Inputs and Outputs'!$O$8=Inputs!$D$44,Inputs!$D$45,IF('Attributes Inputs and Outputs'!$O$8=Inputs!$E$44,Inputs!$E$45,IF('Attributes Inputs and Outputs'!$O$8=Inputs!$F$44,Inputs!$F$45,Inputs!$G$45))))))</f>
        <v>420</v>
      </c>
    </row>
    <row r="206" spans="1:11" x14ac:dyDescent="0.3">
      <c r="A206" t="s">
        <v>201</v>
      </c>
      <c r="B206" s="46" t="s">
        <v>167</v>
      </c>
      <c r="C206" s="13">
        <f>100+200</f>
        <v>300</v>
      </c>
      <c r="D206" s="37">
        <v>1</v>
      </c>
      <c r="E206" s="13">
        <f>C206</f>
        <v>300</v>
      </c>
      <c r="F206" s="13">
        <f>$C206+($D206*F$193)</f>
        <v>360</v>
      </c>
      <c r="G206" s="13">
        <f>F206</f>
        <v>360</v>
      </c>
    </row>
    <row r="207" spans="1:11" x14ac:dyDescent="0.3">
      <c r="A207" t="s">
        <v>202</v>
      </c>
      <c r="B207" t="s">
        <v>712</v>
      </c>
      <c r="C207" s="13"/>
      <c r="D207" s="13"/>
      <c r="E207" s="13">
        <f>C207</f>
        <v>0</v>
      </c>
      <c r="F207" s="13">
        <f>E207</f>
        <v>0</v>
      </c>
      <c r="G207" s="13">
        <f>F207</f>
        <v>0</v>
      </c>
    </row>
    <row r="208" spans="1:11" x14ac:dyDescent="0.3">
      <c r="A208" t="s">
        <v>203</v>
      </c>
      <c r="B208" t="s">
        <v>1368</v>
      </c>
      <c r="C208" s="13"/>
      <c r="D208" s="37">
        <f>4+1+10</f>
        <v>15</v>
      </c>
      <c r="E208" s="13">
        <f>$C208+($D208*E$193)</f>
        <v>900</v>
      </c>
      <c r="F208" s="13">
        <f>$C208+($D208*F$193)</f>
        <v>900</v>
      </c>
      <c r="G208" s="13">
        <f>F208*(1+(IF('Attributes Inputs and Outputs'!$O$8=Inputs!$C$44,Inputs!$C$45,IF('Attributes Inputs and Outputs'!$O$8=Inputs!$D$44,Inputs!$D$45,IF('Attributes Inputs and Outputs'!$O$8=Inputs!$E$44,Inputs!$E$45,IF('Attributes Inputs and Outputs'!$O$8=Inputs!$F$44,Inputs!$F$45,Inputs!$G$45))))))</f>
        <v>900</v>
      </c>
    </row>
    <row r="209" spans="1:7" x14ac:dyDescent="0.3">
      <c r="A209" t="s">
        <v>146</v>
      </c>
      <c r="B209" t="s">
        <v>209</v>
      </c>
      <c r="C209" s="13">
        <f>150*2</f>
        <v>300</v>
      </c>
      <c r="D209" s="37">
        <v>2</v>
      </c>
      <c r="E209" s="13">
        <f>C209</f>
        <v>300</v>
      </c>
      <c r="F209" s="13">
        <f>$C209+($D209*F$193)</f>
        <v>420</v>
      </c>
      <c r="G209" s="13">
        <f>F209</f>
        <v>420</v>
      </c>
    </row>
    <row r="210" spans="1:7" x14ac:dyDescent="0.3">
      <c r="D210" s="39" t="s">
        <v>130</v>
      </c>
      <c r="E210" s="40">
        <f>SUM(E203:E209)</f>
        <v>5320</v>
      </c>
      <c r="F210" s="40">
        <f>SUM(F203:F209)</f>
        <v>6160</v>
      </c>
      <c r="G210" s="40">
        <f>SUM(G203:G209)</f>
        <v>6160</v>
      </c>
    </row>
    <row r="211" spans="1:7" x14ac:dyDescent="0.3">
      <c r="A211" s="7" t="s">
        <v>63</v>
      </c>
      <c r="F211" s="13"/>
    </row>
    <row r="212" spans="1:7" x14ac:dyDescent="0.3">
      <c r="A212" t="s">
        <v>198</v>
      </c>
      <c r="B212" t="s">
        <v>1432</v>
      </c>
      <c r="C212" s="13">
        <v>3000</v>
      </c>
      <c r="D212" s="37"/>
      <c r="E212" s="13">
        <f>C212</f>
        <v>3000</v>
      </c>
      <c r="F212" s="13">
        <f>E212</f>
        <v>3000</v>
      </c>
      <c r="G212" s="13">
        <f>F212</f>
        <v>3000</v>
      </c>
    </row>
    <row r="213" spans="1:7" x14ac:dyDescent="0.3">
      <c r="A213" t="s">
        <v>199</v>
      </c>
      <c r="B213" t="s">
        <v>211</v>
      </c>
      <c r="C213" s="13">
        <v>6000</v>
      </c>
      <c r="D213" s="37">
        <v>20</v>
      </c>
      <c r="E213" s="13">
        <f>C213</f>
        <v>6000</v>
      </c>
      <c r="F213" s="13">
        <f t="shared" ref="F213:F218" si="11">$C213+($D213*F$193)</f>
        <v>7200</v>
      </c>
      <c r="G213" s="13">
        <f>F213*(1+(Inputs!$C$43*('Attributes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7200</v>
      </c>
    </row>
    <row r="214" spans="1:7" x14ac:dyDescent="0.3">
      <c r="A214" t="s">
        <v>200</v>
      </c>
      <c r="B214" t="s">
        <v>212</v>
      </c>
      <c r="C214" s="13">
        <f>10*2*50</f>
        <v>1000</v>
      </c>
      <c r="D214" s="37">
        <v>3.5</v>
      </c>
      <c r="E214" s="13">
        <f>C214</f>
        <v>1000</v>
      </c>
      <c r="F214" s="13">
        <f t="shared" si="11"/>
        <v>1210</v>
      </c>
      <c r="G214" s="13">
        <f>F214*(1+(Inputs!$C$43*('Attributes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1210</v>
      </c>
    </row>
    <row r="215" spans="1:7" x14ac:dyDescent="0.3">
      <c r="A215" t="s">
        <v>201</v>
      </c>
      <c r="B215" t="s">
        <v>171</v>
      </c>
      <c r="C215" s="13">
        <f>400+450</f>
        <v>850</v>
      </c>
      <c r="D215" s="13">
        <v>1</v>
      </c>
      <c r="E215" s="13">
        <f>C215</f>
        <v>850</v>
      </c>
      <c r="F215" s="13">
        <f t="shared" si="11"/>
        <v>910</v>
      </c>
      <c r="G215" s="13">
        <f>F215</f>
        <v>910</v>
      </c>
    </row>
    <row r="216" spans="1:7" x14ac:dyDescent="0.3">
      <c r="A216" t="s">
        <v>202</v>
      </c>
      <c r="B216" t="s">
        <v>713</v>
      </c>
      <c r="C216" s="13">
        <f>200+10*10+300</f>
        <v>600</v>
      </c>
      <c r="D216" s="13">
        <v>1</v>
      </c>
      <c r="E216" s="13">
        <f>C216</f>
        <v>600</v>
      </c>
      <c r="F216" s="13">
        <f t="shared" si="11"/>
        <v>660</v>
      </c>
      <c r="G216" s="13">
        <f>F216*(1+(Inputs!$C$43*('Attributes Inputs and Outputs'!$M$8-'Defaults and Ranges'!$P$6)))*(1+(IF('Attributes Inputs and Outputs'!$O$8=Inputs!$C$44,Inputs!$C$45,IF('Attributes Inputs and Outputs'!$O$8=Inputs!$D$44,Inputs!$D$45,IF('Attributes Inputs and Outputs'!$O$8=Inputs!$E$44,Inputs!$E$45,IF('Attributes Inputs and Outputs'!$O$8=Inputs!$F$44,Inputs!$F$45,Inputs!$G$45))))))</f>
        <v>660</v>
      </c>
    </row>
    <row r="217" spans="1:7" x14ac:dyDescent="0.3">
      <c r="A217" t="s">
        <v>203</v>
      </c>
      <c r="B217" t="s">
        <v>1369</v>
      </c>
      <c r="C217" s="13"/>
      <c r="D217" s="37">
        <f>8+1+12</f>
        <v>21</v>
      </c>
      <c r="E217" s="13">
        <f>$C217+($D217*E$193)</f>
        <v>1260</v>
      </c>
      <c r="F217" s="13">
        <f t="shared" si="11"/>
        <v>1260</v>
      </c>
      <c r="G217" s="13">
        <f>F217*(1+(IF('Attributes Inputs and Outputs'!$O$8=Inputs!$C$44,Inputs!$C$45,IF('Attributes Inputs and Outputs'!$O$8=Inputs!$D$44,Inputs!$D$45,IF('Attributes Inputs and Outputs'!$O$8=Inputs!$E$44,Inputs!$E$45,IF('Attributes Inputs and Outputs'!$O$8=Inputs!$F$44,Inputs!$F$45,Inputs!$G$45))))))</f>
        <v>1260</v>
      </c>
    </row>
    <row r="218" spans="1:7" x14ac:dyDescent="0.3">
      <c r="A218" t="s">
        <v>146</v>
      </c>
      <c r="B218" t="s">
        <v>213</v>
      </c>
      <c r="C218" s="13">
        <v>1000</v>
      </c>
      <c r="D218" s="37">
        <v>7</v>
      </c>
      <c r="E218" s="13">
        <f>C218</f>
        <v>1000</v>
      </c>
      <c r="F218" s="13">
        <f t="shared" si="11"/>
        <v>1420</v>
      </c>
      <c r="G218" s="13">
        <f>F218</f>
        <v>1420</v>
      </c>
    </row>
    <row r="219" spans="1:7" x14ac:dyDescent="0.3">
      <c r="D219" s="39" t="s">
        <v>133</v>
      </c>
      <c r="E219" s="40">
        <f>SUM(E212:E218)</f>
        <v>13710</v>
      </c>
      <c r="F219" s="40">
        <f>SUM(F212:F218)</f>
        <v>15660</v>
      </c>
      <c r="G219" s="40">
        <f>SUM(G212:G218)</f>
        <v>15660</v>
      </c>
    </row>
    <row r="220" spans="1:7" x14ac:dyDescent="0.3">
      <c r="A220" s="7" t="s">
        <v>64</v>
      </c>
      <c r="B220" s="13"/>
      <c r="F220" s="13"/>
      <c r="G220" t="s">
        <v>194</v>
      </c>
    </row>
    <row r="221" spans="1:7" x14ac:dyDescent="0.3">
      <c r="A221" t="s">
        <v>198</v>
      </c>
      <c r="B221" t="s">
        <v>1433</v>
      </c>
      <c r="C221" s="13">
        <f>1500*4+800</f>
        <v>6800</v>
      </c>
      <c r="D221" s="37"/>
      <c r="E221" s="13">
        <f>C221</f>
        <v>6800</v>
      </c>
      <c r="F221" s="13">
        <f>E221</f>
        <v>6800</v>
      </c>
      <c r="G221" s="13">
        <f>F221</f>
        <v>6800</v>
      </c>
    </row>
    <row r="222" spans="1:7" x14ac:dyDescent="0.3">
      <c r="A222" t="s">
        <v>199</v>
      </c>
      <c r="B222" t="s">
        <v>214</v>
      </c>
      <c r="C222" s="13">
        <f>10000+1500</f>
        <v>11500</v>
      </c>
      <c r="D222" s="37">
        <v>38</v>
      </c>
      <c r="E222" s="13">
        <f>C222</f>
        <v>11500</v>
      </c>
      <c r="F222" s="13">
        <f t="shared" ref="F222:F227" si="12">$C222+($D222*F$193)</f>
        <v>13780</v>
      </c>
      <c r="G222" s="13">
        <f>F222*(1+(Inputs!$C$43*('Attributes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13780</v>
      </c>
    </row>
    <row r="223" spans="1:7" x14ac:dyDescent="0.3">
      <c r="A223" t="s">
        <v>200</v>
      </c>
      <c r="B223" t="s">
        <v>215</v>
      </c>
      <c r="C223" s="13">
        <f>10*2*75</f>
        <v>1500</v>
      </c>
      <c r="D223" s="37">
        <v>5</v>
      </c>
      <c r="E223" s="13">
        <f>C223</f>
        <v>1500</v>
      </c>
      <c r="F223" s="13">
        <f t="shared" si="12"/>
        <v>1800</v>
      </c>
      <c r="G223" s="13">
        <f>F223*(1+(Inputs!$C$43*('Attributes Inputs and Outputs'!$M$8-'Defaults and Ranges'!$P$6)))*(1+(IF('Attributes Inputs and Outputs'!$O$8=Inputs!$C$44,Inputs!$C$45,IF('Attributes Inputs and Outputs'!$O$8=Inputs!$D$44,Inputs!$D$45,IF('Attributes Inputs and Outputs'!$O$8=Inputs!$E$44,Inputs!$E$45,IF('Attributes Inputs and Outputs'!$O$8=Inputs!$F$44,Inputs!$F$45,Inputs!$G$45))))))</f>
        <v>1800</v>
      </c>
    </row>
    <row r="224" spans="1:7" x14ac:dyDescent="0.3">
      <c r="A224" t="s">
        <v>201</v>
      </c>
      <c r="B224" t="s">
        <v>216</v>
      </c>
      <c r="C224" s="13">
        <f>1500+800</f>
        <v>2300</v>
      </c>
      <c r="D224" s="13">
        <v>3</v>
      </c>
      <c r="E224" s="13">
        <f>C224</f>
        <v>2300</v>
      </c>
      <c r="F224" s="13">
        <f t="shared" si="12"/>
        <v>2480</v>
      </c>
      <c r="G224" s="13">
        <f>F224</f>
        <v>2480</v>
      </c>
    </row>
    <row r="225" spans="1:11" x14ac:dyDescent="0.3">
      <c r="A225" t="s">
        <v>202</v>
      </c>
      <c r="B225" t="s">
        <v>217</v>
      </c>
      <c r="C225" s="13">
        <f>200+100+20*150+600</f>
        <v>3900</v>
      </c>
      <c r="D225" s="13">
        <v>13</v>
      </c>
      <c r="E225" s="13">
        <f>C225</f>
        <v>3900</v>
      </c>
      <c r="F225" s="13">
        <f t="shared" si="12"/>
        <v>4680</v>
      </c>
      <c r="G225" s="13">
        <f>F225*(1+(Inputs!$C$43*('Attributes Inputs and Outputs'!$M$8-'Defaults and Ranges'!$P$6)))*(1+(IF('Attributes Inputs and Outputs'!$O$8=Inputs!$C$44,Inputs!$C$45,IF('Attributes Inputs and Outputs'!$O$8=Inputs!$D$44,Inputs!$D$45,IF('Attributes Inputs and Outputs'!$O$8=Inputs!$E$44,Inputs!$E$45,IF('Attributes Inputs and Outputs'!$O$8=Inputs!$F$44,Inputs!$F$45,Inputs!$G$45))))))</f>
        <v>4680</v>
      </c>
    </row>
    <row r="226" spans="1:11" x14ac:dyDescent="0.3">
      <c r="A226" t="s">
        <v>203</v>
      </c>
      <c r="B226" t="s">
        <v>1370</v>
      </c>
      <c r="C226" s="13"/>
      <c r="D226" s="37">
        <f>12+1+12</f>
        <v>25</v>
      </c>
      <c r="E226" s="13">
        <f>$C226+($D226*E$193)</f>
        <v>1500</v>
      </c>
      <c r="F226" s="13">
        <f t="shared" si="12"/>
        <v>1500</v>
      </c>
      <c r="G226" s="13">
        <f>F226*(1+(IF('Attributes Inputs and Outputs'!$O$8=Inputs!$C$44,Inputs!$C$45,IF('Attributes Inputs and Outputs'!$O$8=Inputs!$D$44,Inputs!$D$45,IF('Attributes Inputs and Outputs'!$O$8=Inputs!$E$44,Inputs!$E$45,IF('Attributes Inputs and Outputs'!$O$8=Inputs!$F$44,Inputs!$F$45,Inputs!$G$45))))))</f>
        <v>1500</v>
      </c>
    </row>
    <row r="227" spans="1:11" x14ac:dyDescent="0.3">
      <c r="A227" t="s">
        <v>146</v>
      </c>
      <c r="B227" t="s">
        <v>219</v>
      </c>
      <c r="C227" s="13">
        <f>6*125+400+500</f>
        <v>1650</v>
      </c>
      <c r="D227" s="37">
        <v>10</v>
      </c>
      <c r="E227" s="13">
        <f>C227</f>
        <v>1650</v>
      </c>
      <c r="F227" s="13">
        <f t="shared" si="12"/>
        <v>2250</v>
      </c>
      <c r="G227" s="13">
        <f>F227</f>
        <v>2250</v>
      </c>
    </row>
    <row r="228" spans="1:11" x14ac:dyDescent="0.3">
      <c r="D228" s="39" t="s">
        <v>137</v>
      </c>
      <c r="E228" s="40">
        <f>SUM(E221:E227)</f>
        <v>29150</v>
      </c>
      <c r="F228" s="40">
        <f>SUM(F221:F227)</f>
        <v>33290</v>
      </c>
      <c r="G228" s="40">
        <f>SUM(G221:G227)</f>
        <v>33290</v>
      </c>
    </row>
    <row r="230" spans="1:11" x14ac:dyDescent="0.3">
      <c r="E230" t="s">
        <v>108</v>
      </c>
      <c r="F230" t="s">
        <v>158</v>
      </c>
      <c r="G230" t="s">
        <v>159</v>
      </c>
    </row>
    <row r="231" spans="1:11" ht="15" thickBot="1" x14ac:dyDescent="0.35">
      <c r="B231" t="s">
        <v>33</v>
      </c>
      <c r="F231" s="34">
        <v>2.4E-2</v>
      </c>
    </row>
    <row r="232" spans="1:11" x14ac:dyDescent="0.3">
      <c r="A232" s="7" t="s">
        <v>61</v>
      </c>
      <c r="D232" t="s">
        <v>139</v>
      </c>
      <c r="E232" s="16">
        <f>11*14</f>
        <v>154</v>
      </c>
      <c r="F232" s="11">
        <f>E232+('Attributes Back Calcs'!$G$10-'Defaults and Ranges'!$D$7)*F231</f>
        <v>154</v>
      </c>
      <c r="I232" s="70" t="s">
        <v>1001</v>
      </c>
      <c r="J232" s="71"/>
      <c r="K232" s="72"/>
    </row>
    <row r="233" spans="1:11" x14ac:dyDescent="0.3">
      <c r="A233" t="s">
        <v>177</v>
      </c>
      <c r="B233" t="s">
        <v>709</v>
      </c>
      <c r="C233" s="13"/>
      <c r="D233" s="37">
        <v>0</v>
      </c>
      <c r="E233" s="13">
        <f>$C233+($D233*E$232)</f>
        <v>0</v>
      </c>
      <c r="F233" s="13">
        <f>$C233+($D233*F$232)</f>
        <v>0</v>
      </c>
      <c r="G233" s="13">
        <f>F233*(1+(IF('Attributes Inputs and Outputs'!$O$8=Inputs!$C$44,Inputs!$C$45,IF('Attributes Inputs and Outputs'!$O$8=Inputs!$D$44,Inputs!$D$45,IF('Attributes Inputs and Outputs'!$O$8=Inputs!$E$44,Inputs!$E$45,IF('Attributes Inputs and Outputs'!$O$8=Inputs!$F$44,Inputs!$F$45,Inputs!$G$45))))))</f>
        <v>0</v>
      </c>
      <c r="I233" s="73" t="s">
        <v>988</v>
      </c>
      <c r="J233" t="s">
        <v>992</v>
      </c>
      <c r="K233" s="74" t="s">
        <v>994</v>
      </c>
    </row>
    <row r="234" spans="1:11" x14ac:dyDescent="0.3">
      <c r="A234" t="s">
        <v>178</v>
      </c>
      <c r="B234" t="s">
        <v>179</v>
      </c>
      <c r="C234" s="13"/>
      <c r="D234" s="13">
        <v>0</v>
      </c>
      <c r="E234" s="13">
        <f>D234</f>
        <v>0</v>
      </c>
      <c r="F234" s="13">
        <f>E234</f>
        <v>0</v>
      </c>
      <c r="G234" s="13">
        <f>F234</f>
        <v>0</v>
      </c>
      <c r="I234" s="73" t="s">
        <v>61</v>
      </c>
      <c r="J234">
        <v>1</v>
      </c>
      <c r="K234" s="74">
        <v>1</v>
      </c>
    </row>
    <row r="235" spans="1:11" x14ac:dyDescent="0.3">
      <c r="A235" t="s">
        <v>146</v>
      </c>
      <c r="B235" t="s">
        <v>1156</v>
      </c>
      <c r="C235" s="13">
        <v>400</v>
      </c>
      <c r="D235" s="14"/>
      <c r="E235" s="13">
        <f>C235</f>
        <v>400</v>
      </c>
      <c r="F235" s="13">
        <f>$C235+($D235*F$232)</f>
        <v>400</v>
      </c>
      <c r="G235" s="13">
        <f>F235</f>
        <v>400</v>
      </c>
      <c r="I235" s="73" t="s">
        <v>63</v>
      </c>
      <c r="J235">
        <v>5</v>
      </c>
      <c r="K235" s="82">
        <f>J235+(IF('Attributes Calculations'!$E$16&gt;2500,'Attributes Calculations'!$E$16 /2100, 0))</f>
        <v>5</v>
      </c>
    </row>
    <row r="236" spans="1:11" x14ac:dyDescent="0.3">
      <c r="A236" t="s">
        <v>222</v>
      </c>
      <c r="B236" t="s">
        <v>187</v>
      </c>
      <c r="C236" s="13"/>
      <c r="D236" s="37"/>
      <c r="E236" s="13"/>
      <c r="F236" s="13"/>
      <c r="G236" s="13"/>
      <c r="I236" s="73" t="s">
        <v>64</v>
      </c>
      <c r="J236">
        <v>6</v>
      </c>
      <c r="K236" s="82">
        <f>J236+(IF('Attributes Calculations'!$E$16&gt;2500,'Attributes Calculations'!$E$16 /1680, 0))</f>
        <v>6</v>
      </c>
    </row>
    <row r="237" spans="1:11" x14ac:dyDescent="0.3">
      <c r="D237" s="39" t="s">
        <v>127</v>
      </c>
      <c r="E237" s="40">
        <f>SUM(E233:E236)</f>
        <v>400</v>
      </c>
      <c r="F237" s="40">
        <f>SUM(F233:F236)</f>
        <v>400</v>
      </c>
      <c r="G237" s="40">
        <f>SUM(G233:G236)</f>
        <v>400</v>
      </c>
      <c r="I237" s="73" t="s">
        <v>62</v>
      </c>
      <c r="J237">
        <v>2</v>
      </c>
      <c r="K237" s="74">
        <v>2</v>
      </c>
    </row>
    <row r="238" spans="1:11" x14ac:dyDescent="0.3">
      <c r="A238" s="7" t="s">
        <v>62</v>
      </c>
      <c r="C238" s="13"/>
      <c r="D238" s="13"/>
      <c r="E238" s="13"/>
      <c r="F238" s="13"/>
      <c r="I238" s="73"/>
      <c r="K238" s="74"/>
    </row>
    <row r="239" spans="1:11" ht="15" thickBot="1" x14ac:dyDescent="0.35">
      <c r="A239" t="s">
        <v>177</v>
      </c>
      <c r="B239" t="s">
        <v>1159</v>
      </c>
      <c r="C239" s="13">
        <v>1000</v>
      </c>
      <c r="D239" s="37">
        <v>5</v>
      </c>
      <c r="E239" s="13">
        <f>$C239+($D239*E$232)</f>
        <v>1770</v>
      </c>
      <c r="F239" s="13">
        <f>$C239+($D239*F$232)</f>
        <v>1770</v>
      </c>
      <c r="G239" s="13">
        <f>F239*(1+(IF('Attributes Inputs and Outputs'!$O$8=Inputs!$C$44,Inputs!$C$45,IF('Attributes Inputs and Outputs'!$O$8=Inputs!$D$44,Inputs!$D$45,IF('Attributes Inputs and Outputs'!$O$8=Inputs!$E$44,Inputs!$E$45,IF('Attributes Inputs and Outputs'!$O$8=Inputs!$F$44,Inputs!$F$45,Inputs!$G$45))))))</f>
        <v>1770</v>
      </c>
      <c r="I239" s="75"/>
      <c r="J239" s="76" t="s">
        <v>990</v>
      </c>
      <c r="K239" s="83">
        <f xml:space="preserve"> IF('Attributes Inputs and Outputs'!H8='Defaults and Ranges'!K24,  LOOKUP('Packages Inputs and Outputs'!E31, I234:I237, K234:K237), 0)</f>
        <v>0</v>
      </c>
    </row>
    <row r="240" spans="1:11" x14ac:dyDescent="0.3">
      <c r="A240" t="s">
        <v>178</v>
      </c>
      <c r="B240" t="s">
        <v>1157</v>
      </c>
      <c r="C240" s="13"/>
      <c r="D240" s="37">
        <v>1.5</v>
      </c>
      <c r="E240" s="13">
        <f>$C240+($D240*E$232)</f>
        <v>231</v>
      </c>
      <c r="F240" s="13">
        <f>$C240+($D240*F$232)</f>
        <v>231</v>
      </c>
      <c r="G240" s="13">
        <f>F240*(1+(Inputs!$C$43*('Attributes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231</v>
      </c>
    </row>
    <row r="241" spans="1:7" x14ac:dyDescent="0.3">
      <c r="A241" t="s">
        <v>146</v>
      </c>
      <c r="B241" t="s">
        <v>1158</v>
      </c>
      <c r="C241" s="13">
        <f>700+125*4</f>
        <v>1200</v>
      </c>
      <c r="D241" s="37">
        <f>125*4/F232</f>
        <v>3.2467532467532467</v>
      </c>
      <c r="E241" s="13">
        <f>C241</f>
        <v>1200</v>
      </c>
      <c r="F241" s="13">
        <f>$C241+($D241*F$232)</f>
        <v>1700</v>
      </c>
      <c r="G241" s="13">
        <f>F241</f>
        <v>1700</v>
      </c>
    </row>
    <row r="242" spans="1:7" x14ac:dyDescent="0.3">
      <c r="A242" t="s">
        <v>222</v>
      </c>
      <c r="B242" t="s">
        <v>187</v>
      </c>
      <c r="C242" s="13"/>
      <c r="D242" s="37"/>
      <c r="E242" s="13"/>
      <c r="F242" s="13"/>
      <c r="G242" s="13"/>
    </row>
    <row r="243" spans="1:7" x14ac:dyDescent="0.3">
      <c r="D243" s="39" t="s">
        <v>130</v>
      </c>
      <c r="E243" s="40">
        <f>SUM(E239:E242)</f>
        <v>3201</v>
      </c>
      <c r="F243" s="40">
        <f>SUM(F239:F242)</f>
        <v>3701</v>
      </c>
      <c r="G243" s="40">
        <f>SUM(G239:G242)</f>
        <v>3701</v>
      </c>
    </row>
    <row r="244" spans="1:7" x14ac:dyDescent="0.3">
      <c r="A244" s="7" t="s">
        <v>63</v>
      </c>
      <c r="F244" s="13"/>
    </row>
    <row r="245" spans="1:7" x14ac:dyDescent="0.3">
      <c r="A245" t="s">
        <v>177</v>
      </c>
      <c r="B245" t="s">
        <v>715</v>
      </c>
      <c r="C245" s="13"/>
      <c r="D245" s="37">
        <f>4+9</f>
        <v>13</v>
      </c>
      <c r="E245" s="13">
        <f>$C245+($D245*E$232)</f>
        <v>2002</v>
      </c>
      <c r="F245" s="13">
        <f>$C245+($D245*F$232)</f>
        <v>2002</v>
      </c>
      <c r="G245" s="13">
        <f>F245*(1+(Inputs!$C$43*('Attributes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2002</v>
      </c>
    </row>
    <row r="246" spans="1:7" x14ac:dyDescent="0.3">
      <c r="A246" t="s">
        <v>178</v>
      </c>
      <c r="B246" t="s">
        <v>190</v>
      </c>
      <c r="C246" s="13"/>
      <c r="D246" s="37">
        <f>3+7</f>
        <v>10</v>
      </c>
      <c r="E246" s="13">
        <f>$C246+($D246*E$232)</f>
        <v>1540</v>
      </c>
      <c r="F246" s="13">
        <f>$C246+($D246*F$232)</f>
        <v>1540</v>
      </c>
      <c r="G246" s="13">
        <f>F246*(1+(Inputs!$C$43*('Attributes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1540</v>
      </c>
    </row>
    <row r="247" spans="1:7" x14ac:dyDescent="0.3">
      <c r="A247" t="s">
        <v>146</v>
      </c>
      <c r="B247" t="s">
        <v>224</v>
      </c>
      <c r="C247" s="13">
        <f>1200+125*4</f>
        <v>1700</v>
      </c>
      <c r="D247" s="37">
        <f>125*4/F232</f>
        <v>3.2467532467532467</v>
      </c>
      <c r="E247" s="13">
        <f>C247</f>
        <v>1700</v>
      </c>
      <c r="F247" s="13">
        <f>$C247+($D247*F$232)</f>
        <v>2200</v>
      </c>
      <c r="G247" s="13">
        <f>F247</f>
        <v>2200</v>
      </c>
    </row>
    <row r="248" spans="1:7" x14ac:dyDescent="0.3">
      <c r="A248" t="s">
        <v>222</v>
      </c>
      <c r="B248" t="s">
        <v>193</v>
      </c>
      <c r="C248" s="13">
        <f>5500+(7+10)*6*9</f>
        <v>6418</v>
      </c>
      <c r="D248" s="13"/>
      <c r="E248" s="13">
        <f>C248</f>
        <v>6418</v>
      </c>
      <c r="F248" s="13">
        <f>E248</f>
        <v>6418</v>
      </c>
      <c r="G248" s="13">
        <f>F248*(1+(Inputs!$C$43*('Attributes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row>
    <row r="249" spans="1:7" x14ac:dyDescent="0.3">
      <c r="D249" s="39" t="s">
        <v>133</v>
      </c>
      <c r="E249" s="40">
        <f>SUM(E245:E248)</f>
        <v>11660</v>
      </c>
      <c r="F249" s="40">
        <f>SUM(F245:F248)</f>
        <v>12160</v>
      </c>
      <c r="G249" s="40">
        <f>SUM(G245:G248)</f>
        <v>12160</v>
      </c>
    </row>
    <row r="250" spans="1:7" x14ac:dyDescent="0.3">
      <c r="A250" s="7" t="s">
        <v>64</v>
      </c>
      <c r="B250" s="13"/>
      <c r="F250" s="13"/>
      <c r="G250" t="s">
        <v>194</v>
      </c>
    </row>
    <row r="251" spans="1:7" x14ac:dyDescent="0.3">
      <c r="A251" t="s">
        <v>177</v>
      </c>
      <c r="B251" t="s">
        <v>1155</v>
      </c>
      <c r="C251" s="13"/>
      <c r="D251" s="37">
        <f>6+20.4</f>
        <v>26.4</v>
      </c>
      <c r="E251" s="13">
        <f>$C251+($D251*E$232)</f>
        <v>4065.6</v>
      </c>
      <c r="F251" s="13">
        <f>$C251+($D251*F$232)</f>
        <v>4065.6</v>
      </c>
      <c r="G251" s="13">
        <f>F251*(1+(Inputs!$C$43*('Attributes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4065.6</v>
      </c>
    </row>
    <row r="252" spans="1:7" x14ac:dyDescent="0.3">
      <c r="A252" t="s">
        <v>178</v>
      </c>
      <c r="B252" s="47" t="s">
        <v>195</v>
      </c>
      <c r="C252" s="13"/>
      <c r="D252" s="13">
        <f>5+3</f>
        <v>8</v>
      </c>
      <c r="E252" s="13">
        <f>$C252+($D252*E$232)</f>
        <v>1232</v>
      </c>
      <c r="F252" s="13">
        <f>$C252+($D252*F$232)</f>
        <v>1232</v>
      </c>
      <c r="G252" s="13">
        <f>F252*(1+(Inputs!$C$43*('Attributes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1232</v>
      </c>
    </row>
    <row r="253" spans="1:7" x14ac:dyDescent="0.3">
      <c r="A253" t="s">
        <v>146</v>
      </c>
      <c r="B253" t="s">
        <v>225</v>
      </c>
      <c r="C253" s="13">
        <f>3000+500+125*4</f>
        <v>4000</v>
      </c>
      <c r="D253" s="37">
        <f>(4*125+500)/F232</f>
        <v>6.4935064935064934</v>
      </c>
      <c r="E253" s="13">
        <f>C253</f>
        <v>4000</v>
      </c>
      <c r="F253" s="13">
        <f>$C253+($D253*F$232)</f>
        <v>5000</v>
      </c>
      <c r="G253" s="13">
        <f>F253</f>
        <v>5000</v>
      </c>
    </row>
    <row r="254" spans="1:7" x14ac:dyDescent="0.3">
      <c r="A254" t="s">
        <v>222</v>
      </c>
      <c r="B254" t="s">
        <v>227</v>
      </c>
      <c r="C254" s="13">
        <f>10000+(8+20)*6*9</f>
        <v>11512</v>
      </c>
      <c r="D254" s="13"/>
      <c r="E254" s="13">
        <f>C254</f>
        <v>11512</v>
      </c>
      <c r="F254" s="13">
        <f>E254</f>
        <v>11512</v>
      </c>
      <c r="G254" s="13">
        <f>F254*(1+(Inputs!$C$43*('Attributes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11512</v>
      </c>
    </row>
    <row r="255" spans="1:7" x14ac:dyDescent="0.3">
      <c r="D255" s="39" t="s">
        <v>137</v>
      </c>
      <c r="E255" s="40">
        <f>SUM(E251:E254)</f>
        <v>20809.599999999999</v>
      </c>
      <c r="F255" s="40">
        <f>SUM(F251:F254)</f>
        <v>21809.599999999999</v>
      </c>
      <c r="G255" s="40">
        <f>SUM(G251:G254)</f>
        <v>21809.599999999999</v>
      </c>
    </row>
    <row r="257" spans="1:11" x14ac:dyDescent="0.3">
      <c r="E257" t="s">
        <v>108</v>
      </c>
      <c r="F257" t="s">
        <v>158</v>
      </c>
      <c r="G257" t="s">
        <v>159</v>
      </c>
    </row>
    <row r="258" spans="1:11" x14ac:dyDescent="0.3">
      <c r="B258" t="s">
        <v>39</v>
      </c>
      <c r="F258" s="34">
        <v>2.4E-2</v>
      </c>
    </row>
    <row r="259" spans="1:11" x14ac:dyDescent="0.3">
      <c r="A259" s="7" t="s">
        <v>61</v>
      </c>
      <c r="D259" t="s">
        <v>139</v>
      </c>
      <c r="E259" s="16">
        <v>250</v>
      </c>
      <c r="F259" s="11">
        <f>E259+('Attributes Back Calcs'!$G$10-'Defaults and Ranges'!$D$7)*F258</f>
        <v>250</v>
      </c>
    </row>
    <row r="260" spans="1:11" ht="15" thickBot="1" x14ac:dyDescent="0.35">
      <c r="A260" t="s">
        <v>177</v>
      </c>
      <c r="B260" t="s">
        <v>709</v>
      </c>
      <c r="C260" s="13"/>
      <c r="D260" s="37">
        <v>0</v>
      </c>
      <c r="E260" s="13">
        <f>$C260+($D260*E$259)</f>
        <v>0</v>
      </c>
      <c r="F260" s="13">
        <f>$C260+($D260*F$259)</f>
        <v>0</v>
      </c>
      <c r="G260" s="13">
        <f>F260*(1+(IF('Attributes Inputs and Outputs'!$O$8=Inputs!$C$44,Inputs!$C$45,IF('Attributes Inputs and Outputs'!$O$8=Inputs!$D$44,Inputs!$D$45,IF('Attributes Inputs and Outputs'!$O$8=Inputs!$E$44,Inputs!$E$45,IF('Attributes Inputs and Outputs'!$O$8=Inputs!$F$44,Inputs!$F$45,Inputs!$G$45))))))</f>
        <v>0</v>
      </c>
    </row>
    <row r="261" spans="1:11" x14ac:dyDescent="0.3">
      <c r="A261" t="s">
        <v>178</v>
      </c>
      <c r="B261" t="s">
        <v>179</v>
      </c>
      <c r="C261" s="13"/>
      <c r="D261" s="13">
        <v>0</v>
      </c>
      <c r="E261" s="13">
        <f>D261</f>
        <v>0</v>
      </c>
      <c r="F261" s="13">
        <f>E261</f>
        <v>0</v>
      </c>
      <c r="G261" s="13">
        <f>F261</f>
        <v>0</v>
      </c>
      <c r="I261" s="70" t="s">
        <v>1003</v>
      </c>
      <c r="J261" s="71"/>
      <c r="K261" s="72"/>
    </row>
    <row r="262" spans="1:11" x14ac:dyDescent="0.3">
      <c r="A262" t="s">
        <v>146</v>
      </c>
      <c r="B262" t="s">
        <v>220</v>
      </c>
      <c r="C262" s="13">
        <v>100</v>
      </c>
      <c r="D262" s="14"/>
      <c r="E262" s="13">
        <f>C262</f>
        <v>100</v>
      </c>
      <c r="F262" s="13">
        <f>$C262+($D262*F$259)</f>
        <v>100</v>
      </c>
      <c r="G262" s="13">
        <f>F262</f>
        <v>100</v>
      </c>
      <c r="I262" s="73" t="s">
        <v>988</v>
      </c>
      <c r="J262" t="s">
        <v>992</v>
      </c>
      <c r="K262" s="74" t="s">
        <v>994</v>
      </c>
    </row>
    <row r="263" spans="1:11" x14ac:dyDescent="0.3">
      <c r="A263" t="s">
        <v>221</v>
      </c>
      <c r="B263" t="s">
        <v>592</v>
      </c>
      <c r="C263" s="13"/>
      <c r="D263" s="37">
        <v>0</v>
      </c>
      <c r="E263" s="13">
        <f>$C263+($D263*E$259)</f>
        <v>0</v>
      </c>
      <c r="F263" s="13">
        <f>$C263+($D263*F$259)</f>
        <v>0</v>
      </c>
      <c r="G263" s="13">
        <f>F263*(1+(IF('Attributes Inputs and Outputs'!$O$8=Inputs!$C$44,Inputs!$C$45,IF('Attributes Inputs and Outputs'!$O$8=Inputs!$D$44,Inputs!$D$45,IF('Attributes Inputs and Outputs'!$O$8=Inputs!$E$44,Inputs!$E$45,IF('Attributes Inputs and Outputs'!$O$8=Inputs!$F$44,Inputs!$F$45,Inputs!$G$45))))))</f>
        <v>0</v>
      </c>
      <c r="I263" s="73" t="s">
        <v>61</v>
      </c>
      <c r="J263">
        <v>1</v>
      </c>
      <c r="K263" s="74">
        <v>1</v>
      </c>
    </row>
    <row r="264" spans="1:11" x14ac:dyDescent="0.3">
      <c r="A264" t="s">
        <v>222</v>
      </c>
      <c r="B264" t="s">
        <v>187</v>
      </c>
      <c r="C264" s="13"/>
      <c r="D264" s="37"/>
      <c r="E264" s="13"/>
      <c r="F264" s="13"/>
      <c r="G264" s="13"/>
      <c r="I264" s="73" t="s">
        <v>63</v>
      </c>
      <c r="J264">
        <v>6</v>
      </c>
      <c r="K264" s="82">
        <f>J264+(IF('Attributes Calculations'!$E$16&gt;2500,'Attributes Calculations'!$E$16 /1680, 0))</f>
        <v>6</v>
      </c>
    </row>
    <row r="265" spans="1:11" x14ac:dyDescent="0.3">
      <c r="D265" s="39" t="s">
        <v>127</v>
      </c>
      <c r="E265" s="40">
        <f>SUM(E260:E264)</f>
        <v>100</v>
      </c>
      <c r="F265" s="40">
        <f>SUM(F260:F264)</f>
        <v>100</v>
      </c>
      <c r="G265" s="40">
        <f>SUM(G260:G264)</f>
        <v>100</v>
      </c>
      <c r="I265" s="73" t="s">
        <v>64</v>
      </c>
      <c r="J265">
        <v>7</v>
      </c>
      <c r="K265" s="82">
        <f>J265+(IF('Attributes Calculations'!$E$16&gt;2500,'Attributes Calculations'!$E$16 /1400, 0))</f>
        <v>7</v>
      </c>
    </row>
    <row r="266" spans="1:11" x14ac:dyDescent="0.3">
      <c r="A266" s="7" t="s">
        <v>62</v>
      </c>
      <c r="C266" s="13"/>
      <c r="D266" s="13"/>
      <c r="E266" s="13"/>
      <c r="F266" s="13"/>
      <c r="I266" s="73" t="s">
        <v>62</v>
      </c>
      <c r="J266">
        <v>2</v>
      </c>
      <c r="K266" s="82">
        <f>J266+(IF('Attributes Calculations'!$E$16&gt;4200,'Attributes Calculations'!$E$16 /4200, 0))</f>
        <v>2</v>
      </c>
    </row>
    <row r="267" spans="1:11" x14ac:dyDescent="0.3">
      <c r="A267" t="s">
        <v>177</v>
      </c>
      <c r="B267" t="s">
        <v>716</v>
      </c>
      <c r="C267" s="13">
        <v>50</v>
      </c>
      <c r="D267" s="37">
        <v>1</v>
      </c>
      <c r="E267" s="13">
        <f>$C267+($D267*E$259)</f>
        <v>300</v>
      </c>
      <c r="F267" s="13">
        <f>$C267+($D267*F$259)</f>
        <v>300</v>
      </c>
      <c r="G267" s="13">
        <f>F267*(1+(IF('Attributes Inputs and Outputs'!$O$8=Inputs!$C$44,Inputs!$C$45,IF('Attributes Inputs and Outputs'!$O$8=Inputs!$D$44,Inputs!$D$45,IF('Attributes Inputs and Outputs'!$O$8=Inputs!$E$44,Inputs!$E$45,IF('Attributes Inputs and Outputs'!$O$8=Inputs!$F$44,Inputs!$F$45,Inputs!$G$45))))))</f>
        <v>300</v>
      </c>
      <c r="I267" s="73"/>
      <c r="K267" s="74"/>
    </row>
    <row r="268" spans="1:11" ht="15" thickBot="1" x14ac:dyDescent="0.35">
      <c r="A268" t="s">
        <v>178</v>
      </c>
      <c r="B268" t="s">
        <v>186</v>
      </c>
      <c r="C268" s="13"/>
      <c r="D268" s="37">
        <v>1.5</v>
      </c>
      <c r="E268" s="13">
        <f>$C268+($D268*E$259)</f>
        <v>375</v>
      </c>
      <c r="F268" s="13">
        <f>$C268+($D268*F$259)</f>
        <v>375</v>
      </c>
      <c r="G268" s="13">
        <f>F268*(1+(Inputs!$C$43*('Attributes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375</v>
      </c>
      <c r="I268" s="75"/>
      <c r="J268" s="76" t="s">
        <v>990</v>
      </c>
      <c r="K268" s="83">
        <f xml:space="preserve"> IF('Attributes Inputs and Outputs'!H9='Defaults and Ranges'!K25,  LOOKUP('Packages Inputs and Outputs'!E32, I263:I266, K263:K266), 0)</f>
        <v>0</v>
      </c>
    </row>
    <row r="269" spans="1:11" x14ac:dyDescent="0.3">
      <c r="A269" t="s">
        <v>146</v>
      </c>
      <c r="B269" t="s">
        <v>228</v>
      </c>
      <c r="C269" s="13">
        <v>200</v>
      </c>
      <c r="D269" s="14">
        <f>1</f>
        <v>1</v>
      </c>
      <c r="E269" s="13">
        <f>C269</f>
        <v>200</v>
      </c>
      <c r="F269" s="13">
        <f>$C269+($D269*F$259)</f>
        <v>450</v>
      </c>
      <c r="G269" s="13">
        <f>F269</f>
        <v>450</v>
      </c>
    </row>
    <row r="270" spans="1:11" x14ac:dyDescent="0.3">
      <c r="A270" t="s">
        <v>221</v>
      </c>
      <c r="B270" t="s">
        <v>592</v>
      </c>
      <c r="C270" s="13"/>
      <c r="D270" s="37">
        <v>0</v>
      </c>
      <c r="E270" s="13">
        <f>$C270+($D270*E$259)</f>
        <v>0</v>
      </c>
      <c r="F270" s="13">
        <f>$C270+($D270*F$259)</f>
        <v>0</v>
      </c>
      <c r="G270" s="13">
        <f>F270*(1+(IF('Attributes Inputs and Outputs'!$O$8=Inputs!$C$44,Inputs!$C$45,IF('Attributes Inputs and Outputs'!$O$8=Inputs!$D$44,Inputs!$D$45,IF('Attributes Inputs and Outputs'!$O$8=Inputs!$E$44,Inputs!$E$45,IF('Attributes Inputs and Outputs'!$O$8=Inputs!$F$44,Inputs!$F$45,Inputs!$G$45))))))</f>
        <v>0</v>
      </c>
    </row>
    <row r="271" spans="1:11" x14ac:dyDescent="0.3">
      <c r="A271" t="s">
        <v>222</v>
      </c>
      <c r="B271" t="s">
        <v>187</v>
      </c>
      <c r="C271" s="13"/>
      <c r="D271" s="37"/>
      <c r="E271" s="13"/>
      <c r="F271" s="13"/>
      <c r="G271" s="13"/>
    </row>
    <row r="272" spans="1:11" x14ac:dyDescent="0.3">
      <c r="D272" s="39" t="s">
        <v>130</v>
      </c>
      <c r="E272" s="40">
        <f>SUM(E267:E271)</f>
        <v>875</v>
      </c>
      <c r="F272" s="40">
        <f>SUM(F267:F271)</f>
        <v>1125</v>
      </c>
      <c r="G272" s="40">
        <f>SUM(G267:G271)</f>
        <v>1125</v>
      </c>
    </row>
    <row r="273" spans="1:7" x14ac:dyDescent="0.3">
      <c r="A273" s="7" t="s">
        <v>63</v>
      </c>
      <c r="F273" s="13"/>
    </row>
    <row r="274" spans="1:7" x14ac:dyDescent="0.3">
      <c r="A274" t="s">
        <v>177</v>
      </c>
      <c r="B274" t="s">
        <v>717</v>
      </c>
      <c r="C274" s="13"/>
      <c r="D274" s="37">
        <f>4+5.9</f>
        <v>9.9</v>
      </c>
      <c r="E274" s="13">
        <f>$C274+($D274*E$259)</f>
        <v>2475</v>
      </c>
      <c r="F274" s="13">
        <f>$C274+($D274*F$259)</f>
        <v>2475</v>
      </c>
      <c r="G274" s="13">
        <f>F274*(1+(Inputs!$C$43*('Attributes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2475</v>
      </c>
    </row>
    <row r="275" spans="1:7" x14ac:dyDescent="0.3">
      <c r="A275" t="s">
        <v>178</v>
      </c>
      <c r="B275" t="s">
        <v>190</v>
      </c>
      <c r="C275" s="13"/>
      <c r="D275" s="37">
        <f>3+7</f>
        <v>10</v>
      </c>
      <c r="E275" s="13">
        <f>$C275+($D275*E$259)</f>
        <v>2500</v>
      </c>
      <c r="F275" s="13">
        <f>$C275+($D275*F$259)</f>
        <v>2500</v>
      </c>
      <c r="G275" s="13">
        <f>F275*(1+(Inputs!$C$43*('Attributes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2500</v>
      </c>
    </row>
    <row r="276" spans="1:7" x14ac:dyDescent="0.3">
      <c r="A276" t="s">
        <v>146</v>
      </c>
      <c r="B276" t="s">
        <v>192</v>
      </c>
      <c r="C276" s="13">
        <f>800+300+125*4</f>
        <v>1600</v>
      </c>
      <c r="D276" s="37">
        <f>(300+125*4)/F$259</f>
        <v>3.2</v>
      </c>
      <c r="E276" s="13">
        <f>C276</f>
        <v>1600</v>
      </c>
      <c r="F276" s="13">
        <f>$C276+($D276*F$259)</f>
        <v>2400</v>
      </c>
      <c r="G276" s="13">
        <f>F276</f>
        <v>2400</v>
      </c>
    </row>
    <row r="277" spans="1:7" x14ac:dyDescent="0.3">
      <c r="A277" t="s">
        <v>221</v>
      </c>
      <c r="B277" t="s">
        <v>592</v>
      </c>
      <c r="C277" s="13"/>
      <c r="D277" s="37">
        <v>0</v>
      </c>
      <c r="E277" s="13">
        <f>$C277+($D277*E$259)</f>
        <v>0</v>
      </c>
      <c r="F277" s="13">
        <f>$C277+($D277*F$259)</f>
        <v>0</v>
      </c>
      <c r="G277" s="13">
        <f>F277*(1+(IF('Attributes Inputs and Outputs'!$O$8=Inputs!$C$44,Inputs!$C$45,IF('Attributes Inputs and Outputs'!$O$8=Inputs!$D$44,Inputs!$D$45,IF('Attributes Inputs and Outputs'!$O$8=Inputs!$E$44,Inputs!$E$45,IF('Attributes Inputs and Outputs'!$O$8=Inputs!$F$44,Inputs!$F$45,Inputs!$G$45))))))</f>
        <v>0</v>
      </c>
    </row>
    <row r="278" spans="1:7" x14ac:dyDescent="0.3">
      <c r="A278" t="s">
        <v>222</v>
      </c>
      <c r="B278" t="s">
        <v>193</v>
      </c>
      <c r="C278" s="13">
        <f>5500+(7+10)*6*9</f>
        <v>6418</v>
      </c>
      <c r="D278" s="13"/>
      <c r="E278" s="13">
        <f>C278</f>
        <v>6418</v>
      </c>
      <c r="F278" s="13">
        <f>E278</f>
        <v>6418</v>
      </c>
      <c r="G278" s="13">
        <f>F278*(1+(Inputs!$C$43*('Attributes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row>
    <row r="279" spans="1:7" x14ac:dyDescent="0.3">
      <c r="D279" s="39" t="s">
        <v>133</v>
      </c>
      <c r="E279" s="40">
        <f>SUM(E274:E278)</f>
        <v>12993</v>
      </c>
      <c r="F279" s="40">
        <f>SUM(F274:F278)</f>
        <v>13793</v>
      </c>
      <c r="G279" s="40">
        <f>SUM(G274:G278)</f>
        <v>13793</v>
      </c>
    </row>
    <row r="280" spans="1:7" x14ac:dyDescent="0.3">
      <c r="A280" s="7" t="s">
        <v>64</v>
      </c>
      <c r="B280" s="13"/>
      <c r="F280" s="13"/>
      <c r="G280" t="s">
        <v>194</v>
      </c>
    </row>
    <row r="281" spans="1:7" x14ac:dyDescent="0.3">
      <c r="A281" t="s">
        <v>177</v>
      </c>
      <c r="B281" t="s">
        <v>718</v>
      </c>
      <c r="C281" s="13"/>
      <c r="D281" s="37">
        <f>6+13.5</f>
        <v>19.5</v>
      </c>
      <c r="E281" s="13">
        <f>$C281+($D281*E$259)</f>
        <v>4875</v>
      </c>
      <c r="F281" s="13">
        <f>$C281+($D281*F$259)</f>
        <v>4875</v>
      </c>
      <c r="G281" s="13">
        <f>F281*(1+(Inputs!$C$43*('Attributes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4875</v>
      </c>
    </row>
    <row r="282" spans="1:7" x14ac:dyDescent="0.3">
      <c r="A282" t="s">
        <v>178</v>
      </c>
      <c r="B282" s="47" t="s">
        <v>195</v>
      </c>
      <c r="C282" s="13"/>
      <c r="D282" s="13">
        <f>5+3</f>
        <v>8</v>
      </c>
      <c r="E282" s="13">
        <f>$C282+($D282*E$259)</f>
        <v>2000</v>
      </c>
      <c r="F282" s="13">
        <f>$C282+($D282*F$259)</f>
        <v>2000</v>
      </c>
      <c r="G282" s="13">
        <f>F282*(1+(Inputs!$C$43*('Attributes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2000</v>
      </c>
    </row>
    <row r="283" spans="1:7" x14ac:dyDescent="0.3">
      <c r="A283" t="s">
        <v>146</v>
      </c>
      <c r="B283" t="s">
        <v>196</v>
      </c>
      <c r="C283" s="13">
        <f>1600+500+500+125*4</f>
        <v>3100</v>
      </c>
      <c r="D283" s="37">
        <f>(500+500+125*4)/F259</f>
        <v>6</v>
      </c>
      <c r="E283" s="13">
        <f>C283</f>
        <v>3100</v>
      </c>
      <c r="F283" s="13">
        <f>$C283+($D283*F$259)</f>
        <v>4600</v>
      </c>
      <c r="G283" s="13">
        <f>F283</f>
        <v>4600</v>
      </c>
    </row>
    <row r="284" spans="1:7" x14ac:dyDescent="0.3">
      <c r="A284" t="s">
        <v>221</v>
      </c>
      <c r="B284" t="s">
        <v>592</v>
      </c>
      <c r="C284" s="13"/>
      <c r="D284" s="37">
        <v>0</v>
      </c>
      <c r="E284" s="13">
        <f>$C284+($D284*E$259)</f>
        <v>0</v>
      </c>
      <c r="F284" s="13">
        <f>$C284+($D284*F$259)</f>
        <v>0</v>
      </c>
      <c r="G284" s="13">
        <f>F284*(1+(IF('Attributes Inputs and Outputs'!$O$8=Inputs!$C$44,Inputs!$C$45,IF('Attributes Inputs and Outputs'!$O$8=Inputs!$D$44,Inputs!$D$45,IF('Attributes Inputs and Outputs'!$O$8=Inputs!$E$44,Inputs!$E$45,IF('Attributes Inputs and Outputs'!$O$8=Inputs!$F$44,Inputs!$F$45,Inputs!$G$45))))))</f>
        <v>0</v>
      </c>
    </row>
    <row r="285" spans="1:7" x14ac:dyDescent="0.3">
      <c r="A285" t="s">
        <v>222</v>
      </c>
      <c r="B285" t="s">
        <v>227</v>
      </c>
      <c r="C285" s="13">
        <f>10000+(8+20)*6*9</f>
        <v>11512</v>
      </c>
      <c r="D285" s="13"/>
      <c r="E285" s="13">
        <f>C285</f>
        <v>11512</v>
      </c>
      <c r="F285" s="13">
        <f>E285</f>
        <v>11512</v>
      </c>
      <c r="G285" s="13">
        <f>F285*(1+(Inputs!$C$43*('Attributes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11512</v>
      </c>
    </row>
    <row r="286" spans="1:7" x14ac:dyDescent="0.3">
      <c r="D286" s="39" t="s">
        <v>137</v>
      </c>
      <c r="E286" s="40">
        <f>SUM(E281:E285)</f>
        <v>21487</v>
      </c>
      <c r="F286" s="40">
        <f>SUM(F281:F285)</f>
        <v>22987</v>
      </c>
      <c r="G286" s="40">
        <f>SUM(G281:G285)</f>
        <v>22987</v>
      </c>
    </row>
    <row r="288" spans="1:7" x14ac:dyDescent="0.3">
      <c r="E288" t="s">
        <v>108</v>
      </c>
      <c r="F288" t="s">
        <v>158</v>
      </c>
      <c r="G288" t="s">
        <v>159</v>
      </c>
    </row>
    <row r="289" spans="1:11" x14ac:dyDescent="0.3">
      <c r="B289" t="s">
        <v>41</v>
      </c>
      <c r="F289" s="34">
        <v>0.04</v>
      </c>
    </row>
    <row r="290" spans="1:11" x14ac:dyDescent="0.3">
      <c r="A290" s="7" t="s">
        <v>61</v>
      </c>
      <c r="D290" t="s">
        <v>139</v>
      </c>
      <c r="E290" s="16">
        <v>100</v>
      </c>
      <c r="F290" s="11">
        <f>E290+('Attributes Back Calcs'!$G$10-'Defaults and Ranges'!$D$7)*F289</f>
        <v>100</v>
      </c>
    </row>
    <row r="291" spans="1:11" ht="15" thickBot="1" x14ac:dyDescent="0.35">
      <c r="A291" t="s">
        <v>177</v>
      </c>
      <c r="B291" t="s">
        <v>709</v>
      </c>
      <c r="C291" s="13"/>
      <c r="D291" s="37">
        <v>0</v>
      </c>
      <c r="E291" s="13">
        <f>$C291+($D291*E$290)</f>
        <v>0</v>
      </c>
      <c r="F291" s="13">
        <f>$C291+($D291*F$290)</f>
        <v>0</v>
      </c>
      <c r="G291" s="13">
        <f>F291*(1+(IF('Attributes Inputs and Outputs'!$O$8=Inputs!$C$44,Inputs!$C$45,IF('Attributes Inputs and Outputs'!$O$8=Inputs!$D$44,Inputs!$D$45,IF('Attributes Inputs and Outputs'!$O$8=Inputs!$E$44,Inputs!$E$45,IF('Attributes Inputs and Outputs'!$O$8=Inputs!$F$44,Inputs!$F$45,Inputs!$G$45))))))</f>
        <v>0</v>
      </c>
    </row>
    <row r="292" spans="1:11" x14ac:dyDescent="0.3">
      <c r="A292" t="s">
        <v>178</v>
      </c>
      <c r="B292" t="s">
        <v>179</v>
      </c>
      <c r="C292" s="13"/>
      <c r="D292" s="13">
        <v>0</v>
      </c>
      <c r="E292" s="13">
        <f>D292</f>
        <v>0</v>
      </c>
      <c r="F292" s="13">
        <f>E292</f>
        <v>0</v>
      </c>
      <c r="G292" s="13">
        <f>F292</f>
        <v>0</v>
      </c>
      <c r="I292" s="70" t="s">
        <v>1002</v>
      </c>
      <c r="J292" s="71"/>
      <c r="K292" s="72"/>
    </row>
    <row r="293" spans="1:11" x14ac:dyDescent="0.3">
      <c r="A293" t="s">
        <v>146</v>
      </c>
      <c r="B293" t="s">
        <v>220</v>
      </c>
      <c r="C293" s="13">
        <v>100</v>
      </c>
      <c r="D293" s="14"/>
      <c r="E293" s="13">
        <f>C293</f>
        <v>100</v>
      </c>
      <c r="F293" s="13">
        <f>$C293+($D293*F$290)</f>
        <v>100</v>
      </c>
      <c r="G293" s="13">
        <f>F293</f>
        <v>100</v>
      </c>
      <c r="I293" s="73" t="s">
        <v>988</v>
      </c>
      <c r="J293" t="s">
        <v>992</v>
      </c>
      <c r="K293" s="74" t="s">
        <v>994</v>
      </c>
    </row>
    <row r="294" spans="1:11" x14ac:dyDescent="0.3">
      <c r="A294" t="s">
        <v>221</v>
      </c>
      <c r="B294" t="s">
        <v>229</v>
      </c>
      <c r="C294" s="13"/>
      <c r="D294" s="37">
        <f>Inputs!C70</f>
        <v>2.8</v>
      </c>
      <c r="E294" s="13">
        <f>$C294+($D294*E$290)</f>
        <v>280</v>
      </c>
      <c r="F294" s="13">
        <f>$C294+($D294*F$290)</f>
        <v>280</v>
      </c>
      <c r="G294" s="13">
        <f>F294*(1+(IF('Attributes Inputs and Outputs'!$O$8=Inputs!$C$44,Inputs!$C$45,IF('Attributes Inputs and Outputs'!$O$8=Inputs!$D$44,Inputs!$D$45,IF('Attributes Inputs and Outputs'!$O$8=Inputs!$E$44,Inputs!$E$45,IF('Attributes Inputs and Outputs'!$O$8=Inputs!$F$44,Inputs!$F$45,Inputs!$G$45))))))</f>
        <v>280</v>
      </c>
      <c r="I294" s="73" t="s">
        <v>61</v>
      </c>
      <c r="J294">
        <v>1</v>
      </c>
      <c r="K294" s="74">
        <v>1</v>
      </c>
    </row>
    <row r="295" spans="1:11" x14ac:dyDescent="0.3">
      <c r="A295" t="s">
        <v>222</v>
      </c>
      <c r="B295" t="s">
        <v>187</v>
      </c>
      <c r="C295" s="13"/>
      <c r="D295" s="37"/>
      <c r="E295" s="13"/>
      <c r="F295" s="13"/>
      <c r="G295" s="13"/>
      <c r="I295" s="73" t="s">
        <v>63</v>
      </c>
      <c r="J295">
        <v>5</v>
      </c>
      <c r="K295" s="82">
        <f>J295+(IF('Attributes Calculations'!$E$16&gt;2500,'Attributes Calculations'!$E$16 /2100, 0))</f>
        <v>5</v>
      </c>
    </row>
    <row r="296" spans="1:11" x14ac:dyDescent="0.3">
      <c r="A296" t="s">
        <v>230</v>
      </c>
      <c r="B296" t="s">
        <v>231</v>
      </c>
      <c r="C296" s="13">
        <v>150</v>
      </c>
      <c r="D296" s="37"/>
      <c r="E296" s="13">
        <f>C296</f>
        <v>150</v>
      </c>
      <c r="F296" s="13">
        <f>E296</f>
        <v>150</v>
      </c>
      <c r="G296" s="13">
        <f>F296*('Attributes Inputs and Outputs'!$L$8/'Defaults and Ranges'!$O$6)</f>
        <v>150</v>
      </c>
      <c r="I296" s="73" t="s">
        <v>64</v>
      </c>
      <c r="J296">
        <v>7</v>
      </c>
      <c r="K296" s="82">
        <f>J296+(IF('Attributes Calculations'!$E$16&gt;2500,'Attributes Calculations'!$E$16 /1680, 0))</f>
        <v>7</v>
      </c>
    </row>
    <row r="297" spans="1:11" x14ac:dyDescent="0.3">
      <c r="A297" t="s">
        <v>232</v>
      </c>
      <c r="B297" t="s">
        <v>187</v>
      </c>
      <c r="C297" s="13"/>
      <c r="D297" s="37"/>
      <c r="E297" s="13"/>
      <c r="F297" s="13"/>
      <c r="G297" s="13"/>
      <c r="I297" s="73" t="s">
        <v>62</v>
      </c>
      <c r="J297">
        <v>2</v>
      </c>
      <c r="K297" s="82">
        <v>2</v>
      </c>
    </row>
    <row r="298" spans="1:11" x14ac:dyDescent="0.3">
      <c r="D298" s="39" t="s">
        <v>127</v>
      </c>
      <c r="E298" s="40">
        <f>SUM(E291:E297)</f>
        <v>530</v>
      </c>
      <c r="F298" s="40">
        <f>SUM(F291:F297)</f>
        <v>530</v>
      </c>
      <c r="G298" s="40">
        <f>SUM(G291:G297)</f>
        <v>530</v>
      </c>
      <c r="I298" s="73"/>
      <c r="K298" s="74"/>
    </row>
    <row r="299" spans="1:11" ht="15" thickBot="1" x14ac:dyDescent="0.35">
      <c r="A299" s="7" t="s">
        <v>62</v>
      </c>
      <c r="C299" s="13"/>
      <c r="D299" s="13"/>
      <c r="E299" s="13"/>
      <c r="F299" s="13"/>
      <c r="I299" s="75"/>
      <c r="J299" s="76" t="s">
        <v>990</v>
      </c>
      <c r="K299" s="83">
        <f xml:space="preserve"> IF('Attributes Inputs and Outputs'!H10='Defaults and Ranges'!K26,  LOOKUP('Packages Inputs and Outputs'!E33, I294:I297, K294:K297), 0)</f>
        <v>0</v>
      </c>
    </row>
    <row r="300" spans="1:11" x14ac:dyDescent="0.3">
      <c r="A300" t="s">
        <v>177</v>
      </c>
      <c r="B300" t="s">
        <v>716</v>
      </c>
      <c r="C300" s="13">
        <v>50</v>
      </c>
      <c r="D300" s="37">
        <f>1</f>
        <v>1</v>
      </c>
      <c r="E300" s="13">
        <f>$C300+($D300*E$290)</f>
        <v>150</v>
      </c>
      <c r="F300" s="13">
        <f>$C300+($D300*F$290)</f>
        <v>150</v>
      </c>
      <c r="G300" s="13">
        <f>F300*(1+(Inputs!$C$43*('Attributes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150</v>
      </c>
    </row>
    <row r="301" spans="1:11" x14ac:dyDescent="0.3">
      <c r="A301" t="s">
        <v>178</v>
      </c>
      <c r="B301" t="s">
        <v>186</v>
      </c>
      <c r="C301" s="13"/>
      <c r="D301" s="37">
        <v>1.5</v>
      </c>
      <c r="E301" s="13">
        <f>$C301+($D301*E$290)</f>
        <v>150</v>
      </c>
      <c r="F301" s="13">
        <f>$C301+($D301*F$290)</f>
        <v>150</v>
      </c>
      <c r="G301" s="13">
        <f>F301*(1+(Inputs!$C$43*('Attributes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150</v>
      </c>
    </row>
    <row r="302" spans="1:11" x14ac:dyDescent="0.3">
      <c r="A302" t="s">
        <v>146</v>
      </c>
      <c r="B302" t="s">
        <v>1426</v>
      </c>
      <c r="C302" s="13">
        <f>200+4*125</f>
        <v>700</v>
      </c>
      <c r="D302" s="14"/>
      <c r="E302" s="13">
        <f>C302</f>
        <v>700</v>
      </c>
      <c r="F302" s="13">
        <f>$C302+($D302*F$290)</f>
        <v>700</v>
      </c>
      <c r="G302" s="13">
        <f>F302</f>
        <v>700</v>
      </c>
    </row>
    <row r="303" spans="1:11" x14ac:dyDescent="0.3">
      <c r="A303" t="s">
        <v>221</v>
      </c>
      <c r="B303" t="s">
        <v>1154</v>
      </c>
      <c r="C303" s="13"/>
      <c r="D303" s="37">
        <v>9</v>
      </c>
      <c r="E303" s="13">
        <f>$C303+($D303*E$290)</f>
        <v>900</v>
      </c>
      <c r="F303" s="13">
        <f>$C303+($D303*F$290)</f>
        <v>900</v>
      </c>
      <c r="G303" s="13">
        <f>F303*(1+(IF('Attributes Inputs and Outputs'!$O$8=Inputs!$C$44,Inputs!$C$45,IF('Attributes Inputs and Outputs'!$O$8=Inputs!$D$44,Inputs!$D$45,IF('Attributes Inputs and Outputs'!$O$8=Inputs!$E$44,Inputs!$E$45,IF('Attributes Inputs and Outputs'!$O$8=Inputs!$F$44,Inputs!$F$45,Inputs!$G$45))))))</f>
        <v>900</v>
      </c>
    </row>
    <row r="304" spans="1:11" x14ac:dyDescent="0.3">
      <c r="A304" t="s">
        <v>222</v>
      </c>
      <c r="B304" t="s">
        <v>187</v>
      </c>
      <c r="C304" s="13"/>
      <c r="D304" s="37"/>
      <c r="E304" s="13"/>
      <c r="F304" s="13"/>
      <c r="G304" s="13"/>
    </row>
    <row r="305" spans="1:7" x14ac:dyDescent="0.3">
      <c r="A305" t="s">
        <v>230</v>
      </c>
      <c r="B305" t="s">
        <v>233</v>
      </c>
      <c r="C305" s="13">
        <v>1000</v>
      </c>
      <c r="D305" s="37"/>
      <c r="E305" s="13">
        <f>C305</f>
        <v>1000</v>
      </c>
      <c r="F305" s="13">
        <f>E305</f>
        <v>1000</v>
      </c>
      <c r="G305" s="13">
        <f>F305*('Attributes Inputs and Outputs'!$L$8/'Defaults and Ranges'!$O$6)</f>
        <v>1000</v>
      </c>
    </row>
    <row r="306" spans="1:7" x14ac:dyDescent="0.3">
      <c r="A306" t="s">
        <v>232</v>
      </c>
      <c r="B306" t="s">
        <v>187</v>
      </c>
      <c r="C306" s="13"/>
      <c r="D306" s="37"/>
      <c r="E306" s="13"/>
      <c r="F306" s="13"/>
      <c r="G306" s="13"/>
    </row>
    <row r="307" spans="1:7" x14ac:dyDescent="0.3">
      <c r="D307" s="39" t="s">
        <v>130</v>
      </c>
      <c r="E307" s="40">
        <f>SUM(E300:E306)</f>
        <v>2900</v>
      </c>
      <c r="F307" s="40">
        <f>SUM(F300:F304)</f>
        <v>1900</v>
      </c>
      <c r="G307" s="40">
        <f>SUM(G300:G304)</f>
        <v>1900</v>
      </c>
    </row>
    <row r="308" spans="1:7" x14ac:dyDescent="0.3">
      <c r="A308" s="7" t="s">
        <v>63</v>
      </c>
      <c r="F308" s="13"/>
    </row>
    <row r="309" spans="1:7" x14ac:dyDescent="0.3">
      <c r="A309" t="s">
        <v>177</v>
      </c>
      <c r="B309" t="s">
        <v>719</v>
      </c>
      <c r="C309" s="13"/>
      <c r="D309" s="37">
        <f>40+5</f>
        <v>45</v>
      </c>
      <c r="E309" s="13">
        <f>$C309+($D309*E$290)</f>
        <v>4500</v>
      </c>
      <c r="F309" s="13">
        <f>$C309+($D309*F$290)</f>
        <v>4500</v>
      </c>
      <c r="G309" s="13">
        <f>F309*(1+(Inputs!$C$43*('Attributes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4500</v>
      </c>
    </row>
    <row r="310" spans="1:7" x14ac:dyDescent="0.3">
      <c r="A310" t="s">
        <v>178</v>
      </c>
      <c r="B310" t="s">
        <v>190</v>
      </c>
      <c r="C310" s="13"/>
      <c r="D310" s="37">
        <f>3+7</f>
        <v>10</v>
      </c>
      <c r="E310" s="13">
        <f>$C310+($D310*E$290)</f>
        <v>1000</v>
      </c>
      <c r="F310" s="13">
        <f>$C310+($D310*F$290)</f>
        <v>1000</v>
      </c>
      <c r="G310" s="13">
        <f>F310*(1+(Inputs!$C$43*('Attributes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11" spans="1:7" x14ac:dyDescent="0.3">
      <c r="A311" t="s">
        <v>146</v>
      </c>
      <c r="B311" t="s">
        <v>224</v>
      </c>
      <c r="C311" s="13">
        <f>800+125*4</f>
        <v>1300</v>
      </c>
      <c r="D311" s="37">
        <f>125*4/F$290</f>
        <v>5</v>
      </c>
      <c r="E311" s="13">
        <f>C311</f>
        <v>1300</v>
      </c>
      <c r="F311" s="13">
        <f>$C311+($D311*F$290)</f>
        <v>1800</v>
      </c>
      <c r="G311" s="13">
        <f>F311</f>
        <v>1800</v>
      </c>
    </row>
    <row r="312" spans="1:7" x14ac:dyDescent="0.3">
      <c r="A312" t="s">
        <v>221</v>
      </c>
      <c r="B312" t="s">
        <v>1421</v>
      </c>
      <c r="C312" s="13"/>
      <c r="D312" s="37">
        <v>13</v>
      </c>
      <c r="E312" s="13">
        <f>$C312+($D312*E$290)</f>
        <v>1300</v>
      </c>
      <c r="F312" s="13">
        <f>$C312+($D312*F$290)</f>
        <v>1300</v>
      </c>
      <c r="G312" s="13">
        <f>F312*(1+(IF('Attributes Inputs and Outputs'!$O$8=Inputs!$C$44,Inputs!$C$45,IF('Attributes Inputs and Outputs'!$O$8=Inputs!$D$44,Inputs!$D$45,IF('Attributes Inputs and Outputs'!$O$8=Inputs!$E$44,Inputs!$E$45,IF('Attributes Inputs and Outputs'!$O$8=Inputs!$F$44,Inputs!$F$45,Inputs!$G$45))))))</f>
        <v>1300</v>
      </c>
    </row>
    <row r="313" spans="1:7" x14ac:dyDescent="0.3">
      <c r="A313" t="s">
        <v>222</v>
      </c>
      <c r="B313" t="s">
        <v>187</v>
      </c>
      <c r="C313" s="13"/>
      <c r="D313" s="13"/>
      <c r="E313" s="13"/>
      <c r="F313" s="13"/>
      <c r="G313" s="13"/>
    </row>
    <row r="314" spans="1:7" x14ac:dyDescent="0.3">
      <c r="A314" t="s">
        <v>230</v>
      </c>
      <c r="B314" t="s">
        <v>234</v>
      </c>
      <c r="C314" s="13">
        <v>3000</v>
      </c>
      <c r="D314" s="13"/>
      <c r="E314" s="13">
        <f>C314</f>
        <v>3000</v>
      </c>
      <c r="F314" s="13">
        <f>E314</f>
        <v>3000</v>
      </c>
      <c r="G314" s="13">
        <f>F314*('Attributes Inputs and Outputs'!$L$8/'Defaults and Ranges'!$O$6)</f>
        <v>3000</v>
      </c>
    </row>
    <row r="315" spans="1:7" x14ac:dyDescent="0.3">
      <c r="A315" t="s">
        <v>232</v>
      </c>
      <c r="B315" t="s">
        <v>235</v>
      </c>
      <c r="C315" s="13"/>
      <c r="D315" s="13">
        <v>10</v>
      </c>
      <c r="E315" s="13">
        <f>$C315+($D315*E$290)</f>
        <v>1000</v>
      </c>
      <c r="F315" s="13">
        <f>$C315+($D315*F$290)</f>
        <v>1000</v>
      </c>
      <c r="G315" s="13">
        <f>F315*(1+(Inputs!$C$43*('Attributes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16" spans="1:7" x14ac:dyDescent="0.3">
      <c r="D316" s="39" t="s">
        <v>133</v>
      </c>
      <c r="E316" s="40">
        <f>SUM(E309:E315)</f>
        <v>12100</v>
      </c>
      <c r="F316" s="40">
        <f>SUM(F309:F313)</f>
        <v>8600</v>
      </c>
      <c r="G316" s="40">
        <f>SUM(G309:G313)</f>
        <v>8600</v>
      </c>
    </row>
    <row r="317" spans="1:7" x14ac:dyDescent="0.3">
      <c r="A317" s="7" t="s">
        <v>64</v>
      </c>
      <c r="B317" s="13"/>
      <c r="F317" s="13"/>
      <c r="G317" t="s">
        <v>194</v>
      </c>
    </row>
    <row r="318" spans="1:7" x14ac:dyDescent="0.3">
      <c r="A318" t="s">
        <v>177</v>
      </c>
      <c r="B318" t="s">
        <v>720</v>
      </c>
      <c r="C318" s="13"/>
      <c r="D318" s="37">
        <f>80+10</f>
        <v>90</v>
      </c>
      <c r="E318" s="13">
        <f>$C318+($D318*E$290)</f>
        <v>9000</v>
      </c>
      <c r="F318" s="13">
        <f>$C318+($D318*F$290)</f>
        <v>9000</v>
      </c>
      <c r="G318" s="13">
        <f>F318*(1+(Inputs!$C$43*('Attributes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9000</v>
      </c>
    </row>
    <row r="319" spans="1:7" x14ac:dyDescent="0.3">
      <c r="A319" t="s">
        <v>178</v>
      </c>
      <c r="B319" s="47" t="s">
        <v>195</v>
      </c>
      <c r="C319" s="13"/>
      <c r="D319" s="37">
        <f>3+7</f>
        <v>10</v>
      </c>
      <c r="E319" s="13">
        <f>$C319+($D319*E$290)</f>
        <v>1000</v>
      </c>
      <c r="F319" s="13">
        <f>$C319+($D319*F$290)</f>
        <v>1000</v>
      </c>
      <c r="G319" s="13">
        <f>F319*(1+(Inputs!$C$43*('Attributes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20" spans="1:7" x14ac:dyDescent="0.3">
      <c r="A320" t="s">
        <v>146</v>
      </c>
      <c r="B320" t="s">
        <v>225</v>
      </c>
      <c r="C320" s="13">
        <f>800+500+125*4</f>
        <v>1800</v>
      </c>
      <c r="D320" s="37">
        <f>(500+125*4)/F$290</f>
        <v>10</v>
      </c>
      <c r="E320" s="13">
        <f>C320</f>
        <v>1800</v>
      </c>
      <c r="F320" s="13">
        <f>$C320+($D320*F$290)</f>
        <v>2800</v>
      </c>
      <c r="G320" s="13">
        <f>F320</f>
        <v>2800</v>
      </c>
    </row>
    <row r="321" spans="1:15" x14ac:dyDescent="0.3">
      <c r="A321" t="s">
        <v>221</v>
      </c>
      <c r="B321" t="s">
        <v>226</v>
      </c>
      <c r="C321" s="13"/>
      <c r="D321" s="37">
        <f>20+4.5</f>
        <v>24.5</v>
      </c>
      <c r="E321" s="13">
        <f>$C321+($D321*E$290)</f>
        <v>2450</v>
      </c>
      <c r="F321" s="13">
        <f>$C321+($D321*F$290)</f>
        <v>2450</v>
      </c>
      <c r="G321" s="13">
        <f>F321*(1+(IF('Attributes Inputs and Outputs'!$O$8=Inputs!$C$44,Inputs!$C$45,IF('Attributes Inputs and Outputs'!$O$8=Inputs!$D$44,Inputs!$D$45,IF('Attributes Inputs and Outputs'!$O$8=Inputs!$E$44,Inputs!$E$45,IF('Attributes Inputs and Outputs'!$O$8=Inputs!$F$44,Inputs!$F$45,Inputs!$G$45))))))</f>
        <v>2450</v>
      </c>
    </row>
    <row r="322" spans="1:15" x14ac:dyDescent="0.3">
      <c r="A322" t="s">
        <v>222</v>
      </c>
      <c r="B322" t="s">
        <v>236</v>
      </c>
      <c r="C322" s="13">
        <f>5500+(7+10)*6*9</f>
        <v>6418</v>
      </c>
      <c r="D322" s="13"/>
      <c r="E322" s="13">
        <f>C322</f>
        <v>6418</v>
      </c>
      <c r="F322" s="13">
        <f>E322</f>
        <v>6418</v>
      </c>
      <c r="G322" s="13">
        <f>F322*(1+(Inputs!$C$43*('Attributes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6418</v>
      </c>
    </row>
    <row r="323" spans="1:15" x14ac:dyDescent="0.3">
      <c r="A323" t="s">
        <v>230</v>
      </c>
      <c r="B323" t="s">
        <v>237</v>
      </c>
      <c r="C323" s="13">
        <v>5000</v>
      </c>
      <c r="D323" s="13"/>
      <c r="E323" s="13">
        <f>C323</f>
        <v>5000</v>
      </c>
      <c r="F323" s="13">
        <f>E323</f>
        <v>5000</v>
      </c>
      <c r="G323" s="13">
        <f>F323*('Attributes Inputs and Outputs'!$L$8/'Defaults and Ranges'!$O$6)</f>
        <v>5000</v>
      </c>
    </row>
    <row r="324" spans="1:15" x14ac:dyDescent="0.3">
      <c r="A324" t="s">
        <v>232</v>
      </c>
      <c r="B324" t="s">
        <v>238</v>
      </c>
      <c r="C324" s="13"/>
      <c r="D324" s="13">
        <v>30</v>
      </c>
      <c r="E324" s="13">
        <f>$C324+($D324*E$290)</f>
        <v>3000</v>
      </c>
      <c r="F324" s="13">
        <f>$C324+($D324*F$290)</f>
        <v>3000</v>
      </c>
      <c r="G324" s="13">
        <f>F324*(1+(Inputs!$C$43*('Attributes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3000</v>
      </c>
    </row>
    <row r="325" spans="1:15" x14ac:dyDescent="0.3">
      <c r="D325" s="39" t="s">
        <v>137</v>
      </c>
      <c r="E325" s="40">
        <f>SUM(E318:E324)</f>
        <v>28668</v>
      </c>
      <c r="F325" s="40">
        <f>SUM(F318:F322)</f>
        <v>21668</v>
      </c>
      <c r="G325" s="40">
        <f>SUM(G318:G322)</f>
        <v>21668</v>
      </c>
    </row>
    <row r="326" spans="1:15" x14ac:dyDescent="0.3">
      <c r="D326" s="39"/>
      <c r="E326" s="40"/>
      <c r="F326" s="40"/>
      <c r="G326" s="40"/>
    </row>
    <row r="327" spans="1:15" x14ac:dyDescent="0.3">
      <c r="E327" t="s">
        <v>108</v>
      </c>
      <c r="F327" t="s">
        <v>158</v>
      </c>
      <c r="G327" t="s">
        <v>159</v>
      </c>
    </row>
    <row r="328" spans="1:15" x14ac:dyDescent="0.3">
      <c r="B328" t="s">
        <v>43</v>
      </c>
      <c r="F328" s="34">
        <v>0.06</v>
      </c>
      <c r="N328" s="34"/>
    </row>
    <row r="329" spans="1:15" x14ac:dyDescent="0.3">
      <c r="A329" s="7" t="s">
        <v>61</v>
      </c>
      <c r="D329" t="s">
        <v>139</v>
      </c>
      <c r="E329" s="16">
        <f>11*14</f>
        <v>154</v>
      </c>
      <c r="F329" s="11">
        <f>E329+('Attributes Back Calcs'!$G$10-'Defaults and Ranges'!$D$7)*F328</f>
        <v>154</v>
      </c>
      <c r="M329" s="16"/>
      <c r="N329" s="11"/>
    </row>
    <row r="330" spans="1:15" ht="15" thickBot="1" x14ac:dyDescent="0.35">
      <c r="A330" t="s">
        <v>239</v>
      </c>
      <c r="B330" t="s">
        <v>1388</v>
      </c>
      <c r="C330" s="13">
        <f>500*8</f>
        <v>4000</v>
      </c>
      <c r="D330" s="37">
        <v>8</v>
      </c>
      <c r="E330" s="13">
        <f>C330</f>
        <v>4000</v>
      </c>
      <c r="F330" s="13">
        <f>E330+D330*F329</f>
        <v>5232</v>
      </c>
      <c r="G330" s="13">
        <f>F330*(1+(Inputs!$C$43*('Attributes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5232</v>
      </c>
      <c r="I330" s="7"/>
      <c r="L330" s="37"/>
      <c r="M330" s="13"/>
      <c r="N330" s="13"/>
      <c r="O330" s="13"/>
    </row>
    <row r="331" spans="1:15" x14ac:dyDescent="0.3">
      <c r="A331" t="s">
        <v>178</v>
      </c>
      <c r="B331" t="s">
        <v>179</v>
      </c>
      <c r="C331" s="13"/>
      <c r="D331" s="13">
        <v>0</v>
      </c>
      <c r="E331" s="13">
        <f>D331</f>
        <v>0</v>
      </c>
      <c r="F331" s="13">
        <f>E331</f>
        <v>0</v>
      </c>
      <c r="G331" s="13">
        <f>F331</f>
        <v>0</v>
      </c>
      <c r="I331" s="70" t="s">
        <v>1004</v>
      </c>
      <c r="J331" s="71"/>
      <c r="K331" s="72"/>
      <c r="L331" s="13"/>
      <c r="M331" s="13"/>
      <c r="N331" s="13"/>
      <c r="O331" s="13"/>
    </row>
    <row r="332" spans="1:15" x14ac:dyDescent="0.3">
      <c r="A332" t="s">
        <v>146</v>
      </c>
      <c r="B332" t="s">
        <v>220</v>
      </c>
      <c r="C332" s="13">
        <v>100</v>
      </c>
      <c r="D332" s="14"/>
      <c r="E332" s="13">
        <f>C332</f>
        <v>100</v>
      </c>
      <c r="F332" s="13">
        <f>$C332+($D332*F$329)</f>
        <v>100</v>
      </c>
      <c r="G332" s="13">
        <f>F332</f>
        <v>100</v>
      </c>
      <c r="I332" s="73" t="s">
        <v>988</v>
      </c>
      <c r="J332" t="s">
        <v>992</v>
      </c>
      <c r="K332" s="74" t="s">
        <v>994</v>
      </c>
      <c r="L332" s="14"/>
      <c r="M332" s="13"/>
      <c r="N332" s="13"/>
      <c r="O332" s="13"/>
    </row>
    <row r="333" spans="1:15" x14ac:dyDescent="0.3">
      <c r="A333" t="s">
        <v>221</v>
      </c>
      <c r="B333" t="s">
        <v>229</v>
      </c>
      <c r="C333" s="13"/>
      <c r="D333" s="37">
        <f>Inputs!C70</f>
        <v>2.8</v>
      </c>
      <c r="E333" s="13">
        <f>$C333+($D333*E$329)</f>
        <v>431.2</v>
      </c>
      <c r="F333" s="13">
        <f>$C333+($D333*F$329)</f>
        <v>431.2</v>
      </c>
      <c r="G333" s="13">
        <f>F333*(1+(IF('Attributes Inputs and Outputs'!$O$8=Inputs!$C$44,Inputs!$C$45,IF('Attributes Inputs and Outputs'!$O$8=Inputs!$D$44,Inputs!$D$45,IF('Attributes Inputs and Outputs'!$O$8=Inputs!$E$44,Inputs!$E$45,IF('Attributes Inputs and Outputs'!$O$8=Inputs!$F$44,Inputs!$F$45,Inputs!$G$45))))))</f>
        <v>431.2</v>
      </c>
      <c r="I333" s="73" t="s">
        <v>61</v>
      </c>
      <c r="J333">
        <v>1</v>
      </c>
      <c r="K333" s="74">
        <v>1</v>
      </c>
      <c r="L333" s="37"/>
      <c r="M333" s="13"/>
      <c r="N333" s="13"/>
      <c r="O333" s="13"/>
    </row>
    <row r="334" spans="1:15" x14ac:dyDescent="0.3">
      <c r="A334" t="s">
        <v>222</v>
      </c>
      <c r="B334" t="s">
        <v>187</v>
      </c>
      <c r="C334" s="13"/>
      <c r="D334" s="37"/>
      <c r="E334" s="13"/>
      <c r="F334" s="13"/>
      <c r="G334" s="13"/>
      <c r="I334" s="73" t="s">
        <v>63</v>
      </c>
      <c r="J334">
        <v>7</v>
      </c>
      <c r="K334" s="82">
        <f>J334+(IF('Attributes Calculations'!$E$16&gt;2500,'Attributes Calculations'!$E$16 /1200, 0))</f>
        <v>7</v>
      </c>
      <c r="L334" s="37"/>
      <c r="M334" s="13"/>
      <c r="N334" s="13"/>
      <c r="O334" s="13"/>
    </row>
    <row r="335" spans="1:15" x14ac:dyDescent="0.3">
      <c r="D335" s="39" t="s">
        <v>127</v>
      </c>
      <c r="E335" s="40">
        <f>SUM(E330:E334)</f>
        <v>4531.2</v>
      </c>
      <c r="F335" s="40">
        <f>SUM(F330:F334)</f>
        <v>5763.2</v>
      </c>
      <c r="G335" s="40">
        <f>SUM(G330:G334)</f>
        <v>5763.2</v>
      </c>
      <c r="I335" s="73" t="s">
        <v>64</v>
      </c>
      <c r="J335">
        <v>7</v>
      </c>
      <c r="K335" s="82">
        <f>J335+(IF('Attributes Calculations'!$E$16&gt;2500,'Attributes Calculations'!$E$16 /1200, 0))</f>
        <v>7</v>
      </c>
      <c r="L335" s="45"/>
      <c r="M335" s="85"/>
      <c r="N335" s="85"/>
      <c r="O335" s="85"/>
    </row>
    <row r="336" spans="1:15" x14ac:dyDescent="0.3">
      <c r="A336" s="7" t="s">
        <v>62</v>
      </c>
      <c r="C336" s="13"/>
      <c r="D336" s="13"/>
      <c r="E336" s="13"/>
      <c r="F336" s="13"/>
      <c r="I336" s="73" t="s">
        <v>62</v>
      </c>
      <c r="J336">
        <v>2</v>
      </c>
      <c r="K336" s="82">
        <f>J336+(IF('Attributes Calculations'!$E$16&gt;2500,'Attributes Calculations'!$E$16 /4200, 0))</f>
        <v>2</v>
      </c>
    </row>
    <row r="337" spans="1:11" x14ac:dyDescent="0.3">
      <c r="A337" t="s">
        <v>239</v>
      </c>
      <c r="B337" t="s">
        <v>1389</v>
      </c>
      <c r="C337" s="13">
        <f>50+600*8</f>
        <v>4850</v>
      </c>
      <c r="D337" s="37">
        <v>10</v>
      </c>
      <c r="E337" s="13">
        <f>C337</f>
        <v>4850</v>
      </c>
      <c r="F337" s="13">
        <f>$C337+($D337*F$329)</f>
        <v>6390</v>
      </c>
      <c r="G337" s="13">
        <f>F337*(1+(Inputs!$C$43*('Attributes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6390</v>
      </c>
      <c r="I337" s="73"/>
      <c r="K337" s="74"/>
    </row>
    <row r="338" spans="1:11" ht="15" thickBot="1" x14ac:dyDescent="0.35">
      <c r="A338" t="s">
        <v>178</v>
      </c>
      <c r="B338" t="s">
        <v>186</v>
      </c>
      <c r="C338" s="13"/>
      <c r="D338" s="37">
        <v>1.5</v>
      </c>
      <c r="E338" s="13">
        <f>$C338+($D338*E$329)</f>
        <v>231</v>
      </c>
      <c r="F338" s="13">
        <f>$C338+($D338*F$329)</f>
        <v>231</v>
      </c>
      <c r="G338" s="13">
        <f>F338*(1+(Inputs!$C$43*('Attributes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231</v>
      </c>
      <c r="I338" s="75"/>
      <c r="J338" s="76" t="s">
        <v>990</v>
      </c>
      <c r="K338" s="83">
        <f xml:space="preserve"> IF('Attributes Inputs and Outputs'!H12='Defaults and Ranges'!K28,  LOOKUP('Packages Inputs and Outputs'!E35, I333:I336, K333:K336), 0)</f>
        <v>0</v>
      </c>
    </row>
    <row r="339" spans="1:11" x14ac:dyDescent="0.3">
      <c r="A339" t="s">
        <v>146</v>
      </c>
      <c r="B339" t="s">
        <v>1427</v>
      </c>
      <c r="C339" s="13">
        <f>200+4*125</f>
        <v>700</v>
      </c>
      <c r="D339" s="14">
        <v>0.4</v>
      </c>
      <c r="E339" s="13">
        <f>C339</f>
        <v>700</v>
      </c>
      <c r="F339" s="13">
        <f>$C339+($D339*F$329)</f>
        <v>761.6</v>
      </c>
      <c r="G339" s="13">
        <f>F339</f>
        <v>761.6</v>
      </c>
    </row>
    <row r="340" spans="1:11" x14ac:dyDescent="0.3">
      <c r="A340" t="s">
        <v>221</v>
      </c>
      <c r="B340" t="s">
        <v>1371</v>
      </c>
      <c r="C340" s="13"/>
      <c r="D340" s="37">
        <v>9</v>
      </c>
      <c r="E340" s="13">
        <f>$C340+($D340*E$329)</f>
        <v>1386</v>
      </c>
      <c r="F340" s="13">
        <f>$C340+($D340*F$329)</f>
        <v>1386</v>
      </c>
      <c r="G340" s="13">
        <f>F340*(1+(IF('Attributes Inputs and Outputs'!$O$8=Inputs!$C$44,Inputs!$C$45,IF('Attributes Inputs and Outputs'!$O$8=Inputs!$D$44,Inputs!$D$45,IF('Attributes Inputs and Outputs'!$O$8=Inputs!$E$44,Inputs!$E$45,IF('Attributes Inputs and Outputs'!$O$8=Inputs!$F$44,Inputs!$F$45,Inputs!$G$45))))))</f>
        <v>1386</v>
      </c>
    </row>
    <row r="341" spans="1:11" x14ac:dyDescent="0.3">
      <c r="A341" t="s">
        <v>222</v>
      </c>
      <c r="B341" t="s">
        <v>187</v>
      </c>
      <c r="C341" s="13"/>
      <c r="D341" s="37"/>
      <c r="E341" s="13"/>
      <c r="F341" s="13"/>
      <c r="G341" s="13"/>
    </row>
    <row r="342" spans="1:11" x14ac:dyDescent="0.3">
      <c r="D342" s="39" t="s">
        <v>130</v>
      </c>
      <c r="E342" s="40">
        <f>SUM(E337:E341)</f>
        <v>7167</v>
      </c>
      <c r="F342" s="40">
        <f>SUM(F337:F341)</f>
        <v>8768.6</v>
      </c>
      <c r="G342" s="40">
        <f>SUM(G337:G341)</f>
        <v>8768.6</v>
      </c>
    </row>
    <row r="343" spans="1:11" x14ac:dyDescent="0.3">
      <c r="A343" s="7" t="s">
        <v>63</v>
      </c>
      <c r="F343" s="13"/>
    </row>
    <row r="344" spans="1:11" x14ac:dyDescent="0.3">
      <c r="A344" t="s">
        <v>239</v>
      </c>
      <c r="B344" t="s">
        <v>1390</v>
      </c>
      <c r="C344" s="13">
        <f>50+700*8</f>
        <v>5650</v>
      </c>
      <c r="D344" s="37">
        <v>12</v>
      </c>
      <c r="E344" s="13">
        <f>C344</f>
        <v>5650</v>
      </c>
      <c r="F344" s="13">
        <f>$C344+($D344*F$329)</f>
        <v>7498</v>
      </c>
      <c r="G344" s="13">
        <f>F344*(1+(Inputs!$C$43*('Attributes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7498</v>
      </c>
    </row>
    <row r="345" spans="1:11" x14ac:dyDescent="0.3">
      <c r="A345" t="s">
        <v>178</v>
      </c>
      <c r="B345" t="s">
        <v>240</v>
      </c>
      <c r="C345" s="13"/>
      <c r="D345" s="13">
        <f>5+2</f>
        <v>7</v>
      </c>
      <c r="E345" s="13">
        <f>$C345+($D345*E$329)</f>
        <v>1078</v>
      </c>
      <c r="F345" s="13">
        <f>$C345+($D345*F$329)</f>
        <v>1078</v>
      </c>
      <c r="G345" s="13">
        <f>F345*(1+(Inputs!$C$43*('Attributes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1078</v>
      </c>
    </row>
    <row r="346" spans="1:11" x14ac:dyDescent="0.3">
      <c r="A346" t="s">
        <v>146</v>
      </c>
      <c r="B346" t="s">
        <v>241</v>
      </c>
      <c r="C346" s="13">
        <f>800+250+125*4</f>
        <v>1550</v>
      </c>
      <c r="D346" s="37">
        <v>3</v>
      </c>
      <c r="E346" s="13">
        <f>C346</f>
        <v>1550</v>
      </c>
      <c r="F346" s="13">
        <f>$C346+($D346*F$329)</f>
        <v>2012</v>
      </c>
      <c r="G346" s="13">
        <f>F346</f>
        <v>2012</v>
      </c>
    </row>
    <row r="347" spans="1:11" x14ac:dyDescent="0.3">
      <c r="A347" t="s">
        <v>221</v>
      </c>
      <c r="B347" t="s">
        <v>1372</v>
      </c>
      <c r="C347" s="13"/>
      <c r="D347" s="37">
        <f>4+1+8</f>
        <v>13</v>
      </c>
      <c r="E347" s="13">
        <f>$C347+($D347*E$329)</f>
        <v>2002</v>
      </c>
      <c r="F347" s="13">
        <f>$C347+($D347*F$329)</f>
        <v>2002</v>
      </c>
      <c r="G347" s="13">
        <f>F347*(1+(IF('Attributes Inputs and Outputs'!$O$8=Inputs!$C$44,Inputs!$C$45,IF('Attributes Inputs and Outputs'!$O$8=Inputs!$D$44,Inputs!$D$45,IF('Attributes Inputs and Outputs'!$O$8=Inputs!$E$44,Inputs!$E$45,IF('Attributes Inputs and Outputs'!$O$8=Inputs!$F$44,Inputs!$F$45,Inputs!$G$45))))))</f>
        <v>2002</v>
      </c>
    </row>
    <row r="348" spans="1:11" x14ac:dyDescent="0.3">
      <c r="A348" t="s">
        <v>222</v>
      </c>
      <c r="B348" t="s">
        <v>242</v>
      </c>
      <c r="C348" s="13">
        <f>3000+(7+10)*6*9</f>
        <v>3918</v>
      </c>
      <c r="D348" s="13"/>
      <c r="E348" s="13">
        <f>C348</f>
        <v>3918</v>
      </c>
      <c r="F348" s="13">
        <f>E348</f>
        <v>3918</v>
      </c>
      <c r="G348" s="13">
        <f>F348*(1+(Inputs!$C$43*('Attributes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3918</v>
      </c>
    </row>
    <row r="349" spans="1:11" x14ac:dyDescent="0.3">
      <c r="D349" s="39" t="s">
        <v>133</v>
      </c>
      <c r="E349" s="40">
        <f>SUM(E344:E348)</f>
        <v>14198</v>
      </c>
      <c r="F349" s="40">
        <f>SUM(F344:F348)</f>
        <v>16508</v>
      </c>
      <c r="G349" s="40">
        <f>SUM(G344:G348)</f>
        <v>16508</v>
      </c>
    </row>
    <row r="350" spans="1:11" x14ac:dyDescent="0.3">
      <c r="A350" s="7" t="s">
        <v>64</v>
      </c>
      <c r="B350" s="13"/>
      <c r="F350" s="13"/>
      <c r="G350" t="s">
        <v>194</v>
      </c>
    </row>
    <row r="351" spans="1:11" x14ac:dyDescent="0.3">
      <c r="A351" t="s">
        <v>239</v>
      </c>
      <c r="B351" t="s">
        <v>1391</v>
      </c>
      <c r="C351" s="13">
        <f>50+800*8</f>
        <v>6450</v>
      </c>
      <c r="D351" s="37">
        <v>13</v>
      </c>
      <c r="E351" s="13">
        <f>C351</f>
        <v>6450</v>
      </c>
      <c r="F351" s="13">
        <f>$C351+($D351*F$329)</f>
        <v>8452</v>
      </c>
      <c r="G351" s="13">
        <f>F351*(1+(Inputs!$C$43*('Attributes Inputs and Outputs'!$L$8-'Defaults and Ranges'!$O$6)))*(1+(IF('Attributes Inputs and Outputs'!$O$8=Inputs!$C$44,Inputs!$C$45,IF('Attributes Inputs and Outputs'!$O$8=Inputs!$D$44,Inputs!$D$45,IF('Attributes Inputs and Outputs'!$O$8=Inputs!$E$44,Inputs!$E$45,IF('Attributes Inputs and Outputs'!$O$8=Inputs!$F$44,Inputs!$F$45,Inputs!$G$45))))))</f>
        <v>8452</v>
      </c>
    </row>
    <row r="352" spans="1:11" x14ac:dyDescent="0.3">
      <c r="A352" t="s">
        <v>178</v>
      </c>
      <c r="B352" s="47" t="s">
        <v>195</v>
      </c>
      <c r="C352" s="13"/>
      <c r="D352" s="13">
        <f>5+3</f>
        <v>8</v>
      </c>
      <c r="E352" s="13">
        <f>$C352+($D352*E$329)</f>
        <v>1232</v>
      </c>
      <c r="F352" s="13">
        <f>$C352+($D352*F$329)</f>
        <v>1232</v>
      </c>
      <c r="G352" s="13">
        <f>F352*(1+(Inputs!$C$43*('Attributes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1232</v>
      </c>
    </row>
    <row r="353" spans="1:11" x14ac:dyDescent="0.3">
      <c r="A353" t="s">
        <v>146</v>
      </c>
      <c r="B353" t="s">
        <v>1005</v>
      </c>
      <c r="C353" s="13">
        <f>1600+500+125*4</f>
        <v>2600</v>
      </c>
      <c r="D353" s="37">
        <v>5</v>
      </c>
      <c r="E353" s="13">
        <f>C353</f>
        <v>2600</v>
      </c>
      <c r="F353" s="13">
        <f>$C353+($D353*F$329)</f>
        <v>3370</v>
      </c>
      <c r="G353" s="13">
        <f>F353</f>
        <v>3370</v>
      </c>
    </row>
    <row r="354" spans="1:11" x14ac:dyDescent="0.3">
      <c r="A354" t="s">
        <v>221</v>
      </c>
      <c r="B354" t="s">
        <v>1373</v>
      </c>
      <c r="C354" s="13"/>
      <c r="D354" s="37">
        <f>12+1+12</f>
        <v>25</v>
      </c>
      <c r="E354" s="13">
        <f>$C354+($D354*E$329)</f>
        <v>3850</v>
      </c>
      <c r="F354" s="13">
        <f>$C354+($D354*F$329)</f>
        <v>3850</v>
      </c>
      <c r="G354" s="13">
        <f>F354*(1+(IF('Attributes Inputs and Outputs'!$O$8=Inputs!$C$44,Inputs!$C$45,IF('Attributes Inputs and Outputs'!$O$8=Inputs!$D$44,Inputs!$D$45,IF('Attributes Inputs and Outputs'!$O$8=Inputs!$E$44,Inputs!$E$45,IF('Attributes Inputs and Outputs'!$O$8=Inputs!$F$44,Inputs!$F$45,Inputs!$G$45))))))</f>
        <v>3850</v>
      </c>
    </row>
    <row r="355" spans="1:11" x14ac:dyDescent="0.3">
      <c r="A355" t="s">
        <v>222</v>
      </c>
      <c r="B355" t="s">
        <v>243</v>
      </c>
      <c r="C355" s="13">
        <f>5000+(8+20)*6*9</f>
        <v>6512</v>
      </c>
      <c r="D355" s="13"/>
      <c r="E355" s="13">
        <f>C355</f>
        <v>6512</v>
      </c>
      <c r="F355" s="13">
        <f>E355</f>
        <v>6512</v>
      </c>
      <c r="G355" s="13">
        <f>F355*(1+(Inputs!$C$43*('Attributes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6512</v>
      </c>
    </row>
    <row r="356" spans="1:11" x14ac:dyDescent="0.3">
      <c r="D356" s="39" t="s">
        <v>137</v>
      </c>
      <c r="E356" s="40">
        <f>SUM(E351:E355)</f>
        <v>20644</v>
      </c>
      <c r="F356" s="40">
        <f>SUM(F351:F355)</f>
        <v>23416</v>
      </c>
      <c r="G356" s="40">
        <f>SUM(G351:G355)</f>
        <v>23416</v>
      </c>
    </row>
    <row r="359" spans="1:11" x14ac:dyDescent="0.3">
      <c r="E359" t="s">
        <v>108</v>
      </c>
      <c r="F359" t="s">
        <v>158</v>
      </c>
      <c r="G359" t="s">
        <v>159</v>
      </c>
    </row>
    <row r="360" spans="1:11" x14ac:dyDescent="0.3">
      <c r="B360" t="s">
        <v>44</v>
      </c>
      <c r="F360" s="34">
        <v>0.02</v>
      </c>
    </row>
    <row r="361" spans="1:11" ht="15" thickBot="1" x14ac:dyDescent="0.35">
      <c r="A361" s="7" t="s">
        <v>61</v>
      </c>
      <c r="D361" t="s">
        <v>139</v>
      </c>
      <c r="E361" s="16">
        <v>100</v>
      </c>
      <c r="F361" s="11">
        <f>E361+('Attributes Back Calcs'!$G$10-'Defaults and Ranges'!$D$7)*F360</f>
        <v>100</v>
      </c>
    </row>
    <row r="362" spans="1:11" x14ac:dyDescent="0.3">
      <c r="A362" t="s">
        <v>177</v>
      </c>
      <c r="B362" t="s">
        <v>709</v>
      </c>
      <c r="C362" s="13"/>
      <c r="D362" s="37"/>
      <c r="E362" s="13">
        <f>$C362+($D362*E$361)</f>
        <v>0</v>
      </c>
      <c r="F362" s="13">
        <f>$C362+($D362*F$361)</f>
        <v>0</v>
      </c>
      <c r="G362" s="13">
        <f>F362*(1+(IF('Attributes Inputs and Outputs'!$O$8=Inputs!$C$44,Inputs!$C$45,IF('Attributes Inputs and Outputs'!$O$8=Inputs!$D$44,Inputs!$D$45,IF('Attributes Inputs and Outputs'!$O$8=Inputs!$E$44,Inputs!$E$45,IF('Attributes Inputs and Outputs'!$O$8=Inputs!$F$44,Inputs!$F$45,Inputs!$G$45))))))</f>
        <v>0</v>
      </c>
      <c r="I362" s="70" t="s">
        <v>1006</v>
      </c>
      <c r="J362" s="71"/>
      <c r="K362" s="72"/>
    </row>
    <row r="363" spans="1:11" x14ac:dyDescent="0.3">
      <c r="A363" t="s">
        <v>178</v>
      </c>
      <c r="B363" t="s">
        <v>179</v>
      </c>
      <c r="C363" s="13"/>
      <c r="D363" s="13">
        <v>0</v>
      </c>
      <c r="E363" s="13">
        <f>D363</f>
        <v>0</v>
      </c>
      <c r="F363" s="13">
        <f>E363</f>
        <v>0</v>
      </c>
      <c r="G363" s="13">
        <f>F363</f>
        <v>0</v>
      </c>
      <c r="I363" s="73" t="s">
        <v>988</v>
      </c>
      <c r="J363" t="s">
        <v>992</v>
      </c>
      <c r="K363" s="74" t="s">
        <v>994</v>
      </c>
    </row>
    <row r="364" spans="1:11" x14ac:dyDescent="0.3">
      <c r="A364" t="s">
        <v>146</v>
      </c>
      <c r="B364" t="s">
        <v>220</v>
      </c>
      <c r="C364" s="13">
        <f>100+50</f>
        <v>150</v>
      </c>
      <c r="D364" s="14"/>
      <c r="E364" s="13">
        <f>C364</f>
        <v>150</v>
      </c>
      <c r="F364" s="13">
        <f>$C364+($D364*F$361)</f>
        <v>150</v>
      </c>
      <c r="G364" s="13">
        <f>F364</f>
        <v>150</v>
      </c>
      <c r="I364" s="73" t="s">
        <v>61</v>
      </c>
      <c r="J364">
        <v>1</v>
      </c>
      <c r="K364" s="74">
        <v>1</v>
      </c>
    </row>
    <row r="365" spans="1:11" x14ac:dyDescent="0.3">
      <c r="C365" s="13"/>
      <c r="D365" s="37"/>
      <c r="E365" s="13"/>
      <c r="F365" s="13"/>
      <c r="G365" s="13"/>
      <c r="I365" s="73" t="s">
        <v>63</v>
      </c>
      <c r="J365">
        <v>5</v>
      </c>
      <c r="K365" s="82">
        <f>J365+(IF('Attributes Calculations'!$E$16&gt;2500,'Attributes Calculations'!$E$16 /2100, 0))</f>
        <v>5</v>
      </c>
    </row>
    <row r="366" spans="1:11" x14ac:dyDescent="0.3">
      <c r="A366" t="s">
        <v>222</v>
      </c>
      <c r="B366" t="s">
        <v>187</v>
      </c>
      <c r="C366" s="13"/>
      <c r="D366" s="37"/>
      <c r="E366" s="13"/>
      <c r="F366" s="13"/>
      <c r="G366" s="13"/>
      <c r="I366" s="73" t="s">
        <v>64</v>
      </c>
      <c r="J366">
        <v>7</v>
      </c>
      <c r="K366" s="82">
        <f>J366+(IF('Attributes Calculations'!$E$16&gt;2500,'Attributes Calculations'!$E$16 /1680, 0))</f>
        <v>7</v>
      </c>
    </row>
    <row r="367" spans="1:11" x14ac:dyDescent="0.3">
      <c r="D367" s="39" t="s">
        <v>127</v>
      </c>
      <c r="E367" s="40">
        <f>SUM(E362:E366)</f>
        <v>150</v>
      </c>
      <c r="F367" s="40">
        <f>SUM(F362:F366)</f>
        <v>150</v>
      </c>
      <c r="G367" s="40">
        <f>SUM(G362:G366)</f>
        <v>150</v>
      </c>
      <c r="I367" s="73" t="s">
        <v>62</v>
      </c>
      <c r="J367">
        <v>2</v>
      </c>
      <c r="K367" s="82">
        <v>2</v>
      </c>
    </row>
    <row r="368" spans="1:11" x14ac:dyDescent="0.3">
      <c r="A368" s="7" t="s">
        <v>62</v>
      </c>
      <c r="C368" s="13"/>
      <c r="D368" s="13"/>
      <c r="E368" s="13"/>
      <c r="F368" s="13"/>
      <c r="I368" s="73"/>
      <c r="K368" s="74"/>
    </row>
    <row r="369" spans="1:11" ht="15" thickBot="1" x14ac:dyDescent="0.35">
      <c r="A369" t="s">
        <v>177</v>
      </c>
      <c r="B369" t="s">
        <v>1191</v>
      </c>
      <c r="C369" s="13">
        <v>50</v>
      </c>
      <c r="D369" s="37">
        <v>10</v>
      </c>
      <c r="E369" s="13">
        <f>$C369+($D369*E$361)</f>
        <v>1050</v>
      </c>
      <c r="F369" s="13">
        <f>$C369+($D369*F$361)</f>
        <v>1050</v>
      </c>
      <c r="G369" s="13">
        <f>F369*(1+(IF('Attributes Inputs and Outputs'!$O$8=Inputs!$C$44,Inputs!$C$45,IF('Attributes Inputs and Outputs'!$O$8=Inputs!$D$44,Inputs!$D$45,IF('Attributes Inputs and Outputs'!$O$8=Inputs!$E$44,Inputs!$E$45,IF('Attributes Inputs and Outputs'!$O$8=Inputs!$F$44,Inputs!$F$45,Inputs!$G$45))))))</f>
        <v>1050</v>
      </c>
      <c r="I369" s="75"/>
      <c r="J369" s="76" t="s">
        <v>990</v>
      </c>
      <c r="K369" s="83">
        <f xml:space="preserve"> IF('Attributes Inputs and Outputs'!H13='Defaults and Ranges'!K29,  LOOKUP('Packages Inputs and Outputs'!E36, I364:I367, K364:K367), 0)</f>
        <v>0</v>
      </c>
    </row>
    <row r="370" spans="1:11" x14ac:dyDescent="0.3">
      <c r="A370" t="s">
        <v>178</v>
      </c>
      <c r="B370" t="s">
        <v>186</v>
      </c>
      <c r="C370" s="13"/>
      <c r="D370" s="37">
        <v>1.5</v>
      </c>
      <c r="E370" s="13">
        <f>$C370+($D370*E$361)</f>
        <v>150</v>
      </c>
      <c r="F370" s="13">
        <f>$C370+($D370*F$361)</f>
        <v>150</v>
      </c>
      <c r="G370" s="13">
        <f>F370*(1+(Inputs!$C$43*('Attributes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150</v>
      </c>
    </row>
    <row r="371" spans="1:11" x14ac:dyDescent="0.3">
      <c r="A371" t="s">
        <v>146</v>
      </c>
      <c r="B371" t="s">
        <v>223</v>
      </c>
      <c r="C371" s="13">
        <f>300+50</f>
        <v>350</v>
      </c>
      <c r="D371" s="14"/>
      <c r="E371" s="13">
        <f>C371</f>
        <v>350</v>
      </c>
      <c r="F371" s="13">
        <f>$C371+($D371*F$361)</f>
        <v>350</v>
      </c>
      <c r="G371" s="13">
        <f>F371</f>
        <v>350</v>
      </c>
    </row>
    <row r="372" spans="1:11" x14ac:dyDescent="0.3">
      <c r="C372" s="13"/>
      <c r="D372" s="37"/>
      <c r="E372" s="13"/>
      <c r="F372" s="13"/>
      <c r="G372" s="13"/>
    </row>
    <row r="373" spans="1:11" x14ac:dyDescent="0.3">
      <c r="A373" t="s">
        <v>222</v>
      </c>
      <c r="B373" t="s">
        <v>187</v>
      </c>
      <c r="C373" s="13"/>
      <c r="D373" s="37"/>
      <c r="E373" s="13"/>
      <c r="F373" s="13"/>
      <c r="G373" s="13"/>
    </row>
    <row r="374" spans="1:11" x14ac:dyDescent="0.3">
      <c r="D374" s="39" t="s">
        <v>130</v>
      </c>
      <c r="E374" s="40">
        <f>SUM(E369:E373)</f>
        <v>1550</v>
      </c>
      <c r="F374" s="40">
        <f>SUM(F369:F373)</f>
        <v>1550</v>
      </c>
      <c r="G374" s="40">
        <f>SUM(G369:G373)</f>
        <v>1550</v>
      </c>
    </row>
    <row r="375" spans="1:11" x14ac:dyDescent="0.3">
      <c r="A375" s="7" t="s">
        <v>63</v>
      </c>
      <c r="F375" s="13"/>
    </row>
    <row r="376" spans="1:11" x14ac:dyDescent="0.3">
      <c r="A376" t="s">
        <v>177</v>
      </c>
      <c r="B376" t="s">
        <v>721</v>
      </c>
      <c r="C376" s="13"/>
      <c r="D376" s="37">
        <f>4+(13*10*9/E$361)</f>
        <v>15.7</v>
      </c>
      <c r="E376" s="13">
        <f>$C376+($D376*E$361)</f>
        <v>1570</v>
      </c>
      <c r="F376" s="13">
        <f>$C376+($D376*F$361)</f>
        <v>1570</v>
      </c>
      <c r="G376" s="13">
        <f>F376*(1+(Inputs!$C$43*('Attributes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1570</v>
      </c>
    </row>
    <row r="377" spans="1:11" x14ac:dyDescent="0.3">
      <c r="A377" t="s">
        <v>178</v>
      </c>
      <c r="B377" t="s">
        <v>190</v>
      </c>
      <c r="C377" s="13"/>
      <c r="D377" s="37">
        <f>3+7</f>
        <v>10</v>
      </c>
      <c r="E377" s="13">
        <f>$C377+($D377*E$361)</f>
        <v>1000</v>
      </c>
      <c r="F377" s="13">
        <f>$C377+($D377*F$361)</f>
        <v>1000</v>
      </c>
      <c r="G377" s="13">
        <f>F377*(1+(Inputs!$C$43*('Attributes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1000</v>
      </c>
    </row>
    <row r="378" spans="1:11" x14ac:dyDescent="0.3">
      <c r="A378" t="s">
        <v>146</v>
      </c>
      <c r="B378" t="s">
        <v>224</v>
      </c>
      <c r="C378" s="13">
        <f>800+50+125*4</f>
        <v>1350</v>
      </c>
      <c r="D378" s="37">
        <f>125*4/F361</f>
        <v>5</v>
      </c>
      <c r="E378" s="13">
        <f>C378</f>
        <v>1350</v>
      </c>
      <c r="F378" s="13">
        <f>$C378+($D378*F$361)</f>
        <v>1850</v>
      </c>
      <c r="G378" s="13">
        <f>F378</f>
        <v>1850</v>
      </c>
    </row>
    <row r="379" spans="1:11" x14ac:dyDescent="0.3">
      <c r="C379" s="13"/>
      <c r="D379" s="37"/>
      <c r="E379" s="13"/>
      <c r="F379" s="13"/>
      <c r="G379" s="13"/>
    </row>
    <row r="380" spans="1:11" x14ac:dyDescent="0.3">
      <c r="A380" t="s">
        <v>222</v>
      </c>
      <c r="B380" t="s">
        <v>242</v>
      </c>
      <c r="C380" s="13">
        <f>4500+(10+11)*6*9</f>
        <v>5634</v>
      </c>
      <c r="D380" s="13"/>
      <c r="E380" s="13">
        <f>C380</f>
        <v>5634</v>
      </c>
      <c r="F380" s="13">
        <f>E380</f>
        <v>5634</v>
      </c>
      <c r="G380" s="13">
        <f>F380*(1+(Inputs!$C$43*('Attributes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5634</v>
      </c>
    </row>
    <row r="381" spans="1:11" x14ac:dyDescent="0.3">
      <c r="D381" s="39" t="s">
        <v>133</v>
      </c>
      <c r="E381" s="40">
        <f>SUM(E376:E380)</f>
        <v>9554</v>
      </c>
      <c r="F381" s="40">
        <f>SUM(F376:F380)</f>
        <v>10054</v>
      </c>
      <c r="G381" s="40">
        <f>SUM(G376:G380)</f>
        <v>10054</v>
      </c>
    </row>
    <row r="382" spans="1:11" x14ac:dyDescent="0.3">
      <c r="A382" s="7" t="s">
        <v>64</v>
      </c>
      <c r="B382" s="37"/>
      <c r="F382" s="13"/>
      <c r="G382" t="s">
        <v>194</v>
      </c>
    </row>
    <row r="383" spans="1:11" x14ac:dyDescent="0.3">
      <c r="A383" t="s">
        <v>177</v>
      </c>
      <c r="B383" t="s">
        <v>722</v>
      </c>
      <c r="C383" s="13"/>
      <c r="D383" s="37">
        <f>4+(25*10*9/E$361)</f>
        <v>26.5</v>
      </c>
      <c r="E383" s="13">
        <f>$C383+($D383*E$361)</f>
        <v>2650</v>
      </c>
      <c r="F383" s="13">
        <f>$C383+($D383*F$361)</f>
        <v>2650</v>
      </c>
      <c r="G383" s="13">
        <f>F383*(1+(Inputs!$C$43*('Attributes Inputs and Outputs'!$L$8-'Defaults and Ranges'!$O$6)))*(1+(IF('Attributes Inputs and Outputs'!$O$8=Inputs!$C$44,Inputs!$C$45,IF('Attributes Inputs and Outputs'!$O$8=Inputs!$D$44,Inputs!$D$45,IF('Attributes Inputs and Outputs'!$O$8=Inputs!$E$44,Inputs!$E$45,IF('Attributes Inputs and Outputs'!$O$8=Inputs!$F$44,Inputs!$F$45,Inputs!$G$45))))))</f>
        <v>2650</v>
      </c>
    </row>
    <row r="384" spans="1:11" x14ac:dyDescent="0.3">
      <c r="A384" t="s">
        <v>178</v>
      </c>
      <c r="B384" s="47" t="s">
        <v>195</v>
      </c>
      <c r="C384" s="13"/>
      <c r="D384" s="13">
        <f>5+3</f>
        <v>8</v>
      </c>
      <c r="E384" s="13">
        <f>$C384+($D384*E$361)</f>
        <v>800</v>
      </c>
      <c r="F384" s="13">
        <f>$C384+($D384*F$361)</f>
        <v>800</v>
      </c>
      <c r="G384" s="13">
        <f>F384*(1+(Inputs!$C$43*('Attributes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800</v>
      </c>
    </row>
    <row r="385" spans="1:11" x14ac:dyDescent="0.3">
      <c r="A385" t="s">
        <v>146</v>
      </c>
      <c r="B385" t="s">
        <v>225</v>
      </c>
      <c r="C385" s="13">
        <f>1600+500+125*4</f>
        <v>2600</v>
      </c>
      <c r="D385" s="37">
        <f>(4*125+500)/F361</f>
        <v>10</v>
      </c>
      <c r="E385" s="13">
        <f>C385</f>
        <v>2600</v>
      </c>
      <c r="F385" s="13">
        <f>$C385+($D385*F$361)</f>
        <v>3600</v>
      </c>
      <c r="G385" s="13">
        <f>F385</f>
        <v>3600</v>
      </c>
    </row>
    <row r="386" spans="1:11" x14ac:dyDescent="0.3">
      <c r="C386" s="13"/>
      <c r="D386" s="37"/>
      <c r="E386" s="13"/>
      <c r="F386" s="13"/>
      <c r="G386" s="13"/>
    </row>
    <row r="387" spans="1:11" x14ac:dyDescent="0.3">
      <c r="A387" t="s">
        <v>222</v>
      </c>
      <c r="B387" t="s">
        <v>243</v>
      </c>
      <c r="C387" s="13">
        <f>10000+(10+20)*6*9</f>
        <v>11620</v>
      </c>
      <c r="D387" s="13"/>
      <c r="E387" s="13">
        <f>C387</f>
        <v>11620</v>
      </c>
      <c r="F387" s="13">
        <f>E387</f>
        <v>11620</v>
      </c>
      <c r="G387" s="13">
        <f>F387*(1+(Inputs!$C$43*('Attributes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11620</v>
      </c>
    </row>
    <row r="388" spans="1:11" x14ac:dyDescent="0.3">
      <c r="D388" s="39" t="s">
        <v>137</v>
      </c>
      <c r="E388" s="40">
        <f>SUM(E383:E387)</f>
        <v>17670</v>
      </c>
      <c r="F388" s="40">
        <f>SUM(F383:F387)</f>
        <v>18670</v>
      </c>
      <c r="G388" s="40">
        <f>SUM(G383:G387)</f>
        <v>18670</v>
      </c>
    </row>
    <row r="390" spans="1:11" x14ac:dyDescent="0.3">
      <c r="E390" t="s">
        <v>108</v>
      </c>
      <c r="F390" t="s">
        <v>158</v>
      </c>
      <c r="G390" t="s">
        <v>159</v>
      </c>
    </row>
    <row r="391" spans="1:11" x14ac:dyDescent="0.3">
      <c r="B391" t="s">
        <v>42</v>
      </c>
      <c r="F391" s="34">
        <f>IF('Attributes Back Calcs'!G10&lt;4700, 0.03, 0.02)</f>
        <v>0.03</v>
      </c>
    </row>
    <row r="392" spans="1:11" ht="15" thickBot="1" x14ac:dyDescent="0.35">
      <c r="A392" s="7" t="s">
        <v>61</v>
      </c>
      <c r="D392" t="s">
        <v>139</v>
      </c>
      <c r="E392" s="16">
        <v>84</v>
      </c>
      <c r="F392" s="11">
        <f>IF('Attributes Back Calcs'!G10&lt;4700, E392, E392+22)+('Attributes Back Calcs'!$G$10-'Defaults and Ranges'!$D$7)*F391</f>
        <v>84</v>
      </c>
    </row>
    <row r="393" spans="1:11" x14ac:dyDescent="0.3">
      <c r="A393" t="s">
        <v>198</v>
      </c>
      <c r="B393" t="s">
        <v>187</v>
      </c>
      <c r="C393" s="13">
        <v>0</v>
      </c>
      <c r="D393" s="37"/>
      <c r="E393" s="13">
        <f>C393</f>
        <v>0</v>
      </c>
      <c r="F393" s="13">
        <f>E393</f>
        <v>0</v>
      </c>
      <c r="G393" s="13">
        <f>F393</f>
        <v>0</v>
      </c>
      <c r="I393" s="70" t="s">
        <v>1007</v>
      </c>
      <c r="J393" s="71"/>
      <c r="K393" s="72"/>
    </row>
    <row r="394" spans="1:11" x14ac:dyDescent="0.3">
      <c r="A394" t="s">
        <v>244</v>
      </c>
      <c r="B394" t="s">
        <v>245</v>
      </c>
      <c r="C394" s="13">
        <f>400+50*10+300</f>
        <v>1200</v>
      </c>
      <c r="D394" s="37">
        <v>5</v>
      </c>
      <c r="E394" s="13">
        <f>C394</f>
        <v>1200</v>
      </c>
      <c r="F394" s="13">
        <f>$C394+($D394*F$392)</f>
        <v>1620</v>
      </c>
      <c r="G394" s="13">
        <f>F394*(1+(Inputs!$C$43*('Attributes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1620</v>
      </c>
      <c r="I394" s="73" t="s">
        <v>988</v>
      </c>
      <c r="J394" t="s">
        <v>992</v>
      </c>
      <c r="K394" s="74" t="s">
        <v>994</v>
      </c>
    </row>
    <row r="395" spans="1:11" x14ac:dyDescent="0.3">
      <c r="A395" t="s">
        <v>200</v>
      </c>
      <c r="B395" t="s">
        <v>187</v>
      </c>
      <c r="C395" s="13"/>
      <c r="D395" s="13">
        <v>0</v>
      </c>
      <c r="E395" s="13">
        <f>D395</f>
        <v>0</v>
      </c>
      <c r="F395" s="13">
        <f>E395</f>
        <v>0</v>
      </c>
      <c r="G395" s="13">
        <f>F395</f>
        <v>0</v>
      </c>
      <c r="I395" s="73" t="s">
        <v>61</v>
      </c>
      <c r="J395">
        <v>1</v>
      </c>
      <c r="K395" s="74">
        <v>1</v>
      </c>
    </row>
    <row r="396" spans="1:11" x14ac:dyDescent="0.3">
      <c r="A396" t="s">
        <v>201</v>
      </c>
      <c r="B396" s="46" t="s">
        <v>187</v>
      </c>
      <c r="C396" s="13"/>
      <c r="D396" s="14">
        <v>0</v>
      </c>
      <c r="E396" s="13">
        <f>C396</f>
        <v>0</v>
      </c>
      <c r="F396" s="13">
        <f>$C396+($D396*F$392)</f>
        <v>0</v>
      </c>
      <c r="G396" s="13">
        <f>F396</f>
        <v>0</v>
      </c>
      <c r="I396" s="73" t="s">
        <v>63</v>
      </c>
      <c r="J396">
        <v>5</v>
      </c>
      <c r="K396" s="82">
        <f>J396+(IF('Attributes Calculations'!$E$16&gt;2500,'Attributes Calculations'!$E$16 /2100, 0))</f>
        <v>5</v>
      </c>
    </row>
    <row r="397" spans="1:11" x14ac:dyDescent="0.3">
      <c r="A397" t="s">
        <v>202</v>
      </c>
      <c r="B397" t="s">
        <v>712</v>
      </c>
      <c r="C397" s="13"/>
      <c r="D397" s="13">
        <v>0</v>
      </c>
      <c r="E397" s="13">
        <f>C397</f>
        <v>0</v>
      </c>
      <c r="F397" s="13">
        <f>E397</f>
        <v>0</v>
      </c>
      <c r="G397" s="13">
        <f>F397</f>
        <v>0</v>
      </c>
      <c r="I397" s="73" t="s">
        <v>64</v>
      </c>
      <c r="J397">
        <v>8</v>
      </c>
      <c r="K397" s="82">
        <f>J397+(IF('Attributes Calculations'!$E$16&gt;2500,'Attributes Calculations'!$E$16 /1050, 0))</f>
        <v>8</v>
      </c>
    </row>
    <row r="398" spans="1:11" x14ac:dyDescent="0.3">
      <c r="A398" t="s">
        <v>203</v>
      </c>
      <c r="B398" t="s">
        <v>204</v>
      </c>
      <c r="C398" s="13"/>
      <c r="D398" s="37">
        <f>2+1+10</f>
        <v>13</v>
      </c>
      <c r="E398" s="13">
        <f>$C398+($D398*E$392)</f>
        <v>1092</v>
      </c>
      <c r="F398" s="13">
        <f>$C398+($D398*F$392)</f>
        <v>1092</v>
      </c>
      <c r="G398" s="13">
        <f>F398*(1+(IF('Attributes Inputs and Outputs'!$O$8=Inputs!$C$44,Inputs!$C$45,IF('Attributes Inputs and Outputs'!$O$8=Inputs!$D$44,Inputs!$D$45,IF('Attributes Inputs and Outputs'!$O$8=Inputs!$E$44,Inputs!$E$45,IF('Attributes Inputs and Outputs'!$O$8=Inputs!$F$44,Inputs!$F$45,Inputs!$G$45))))))</f>
        <v>1092</v>
      </c>
      <c r="I398" s="73" t="s">
        <v>62</v>
      </c>
      <c r="J398">
        <v>2</v>
      </c>
      <c r="K398" s="82">
        <f>J398+(IF('Attributes Calculations'!$E$16&gt;2500,'Attributes Calculations'!$E$16 /4200, 0))</f>
        <v>2</v>
      </c>
    </row>
    <row r="399" spans="1:11" x14ac:dyDescent="0.3">
      <c r="A399" t="s">
        <v>146</v>
      </c>
      <c r="B399" t="s">
        <v>205</v>
      </c>
      <c r="C399" s="13">
        <v>100</v>
      </c>
      <c r="D399" s="37"/>
      <c r="E399" s="13">
        <f>C399</f>
        <v>100</v>
      </c>
      <c r="F399" s="13">
        <f>E399</f>
        <v>100</v>
      </c>
      <c r="G399" s="13">
        <f>F399</f>
        <v>100</v>
      </c>
      <c r="I399" s="73"/>
      <c r="K399" s="74"/>
    </row>
    <row r="400" spans="1:11" ht="15" thickBot="1" x14ac:dyDescent="0.35">
      <c r="A400" t="s">
        <v>246</v>
      </c>
      <c r="B400" t="s">
        <v>187</v>
      </c>
      <c r="C400" s="13"/>
      <c r="D400" s="37"/>
      <c r="E400" s="13"/>
      <c r="F400" s="13"/>
      <c r="G400" s="13"/>
      <c r="I400" s="75"/>
      <c r="J400" s="76" t="s">
        <v>990</v>
      </c>
      <c r="K400" s="83">
        <f xml:space="preserve"> IF( 'Attributes Inputs and Outputs'!H11='Defaults and Ranges'!K27, LOOKUP('Packages Inputs and Outputs'!E34, I395:I398, K395:K398), 0)</f>
        <v>0</v>
      </c>
    </row>
    <row r="401" spans="1:7" x14ac:dyDescent="0.3">
      <c r="D401" s="39" t="s">
        <v>127</v>
      </c>
      <c r="E401" s="40">
        <f>SUM(E393:E400)</f>
        <v>2392</v>
      </c>
      <c r="F401" s="40">
        <f>SUM(F393:F400)</f>
        <v>2812</v>
      </c>
      <c r="G401" s="40">
        <f>SUM(G393:G400)</f>
        <v>2812</v>
      </c>
    </row>
    <row r="402" spans="1:7" x14ac:dyDescent="0.3">
      <c r="A402" s="7" t="s">
        <v>62</v>
      </c>
      <c r="C402" s="13"/>
      <c r="D402" s="13"/>
      <c r="E402" s="13"/>
      <c r="F402" s="13"/>
    </row>
    <row r="403" spans="1:7" x14ac:dyDescent="0.3">
      <c r="A403" t="s">
        <v>198</v>
      </c>
      <c r="B403" t="s">
        <v>187</v>
      </c>
      <c r="C403" s="13">
        <v>0</v>
      </c>
      <c r="D403" s="37"/>
      <c r="E403" s="13">
        <f>C403</f>
        <v>0</v>
      </c>
      <c r="F403" s="13">
        <f>E403</f>
        <v>0</v>
      </c>
      <c r="G403" s="13">
        <f>F403</f>
        <v>0</v>
      </c>
    </row>
    <row r="404" spans="1:7" x14ac:dyDescent="0.3">
      <c r="A404" t="s">
        <v>244</v>
      </c>
      <c r="B404" t="s">
        <v>247</v>
      </c>
      <c r="C404" s="13">
        <f>4000+50*16+300</f>
        <v>5100</v>
      </c>
      <c r="D404" s="37">
        <v>11</v>
      </c>
      <c r="E404" s="13">
        <f>C404</f>
        <v>5100</v>
      </c>
      <c r="F404" s="13">
        <f>$C404+($D404*F$392)</f>
        <v>6024</v>
      </c>
      <c r="G404" s="13">
        <f>F404*(1+(Inputs!$C$43*('Attributes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6024</v>
      </c>
    </row>
    <row r="405" spans="1:7" x14ac:dyDescent="0.3">
      <c r="A405" t="s">
        <v>200</v>
      </c>
      <c r="B405" t="s">
        <v>187</v>
      </c>
      <c r="C405" s="13"/>
      <c r="D405" s="51">
        <v>0</v>
      </c>
      <c r="E405" s="13">
        <f>$C405+($D405*E$392)</f>
        <v>0</v>
      </c>
      <c r="F405" s="51">
        <f>$C405+($D405*F$392)</f>
        <v>0</v>
      </c>
      <c r="G405" s="13">
        <f>F405*(1+(IF('Attributes Inputs and Outputs'!$O$8=Inputs!$C$44,Inputs!$C$45,IF('Attributes Inputs and Outputs'!$O$8=Inputs!$D$44,Inputs!$D$45,IF('Attributes Inputs and Outputs'!$O$8=Inputs!$E$44,Inputs!$E$45,IF('Attributes Inputs and Outputs'!$O$8=Inputs!$F$44,Inputs!$F$45,Inputs!$G$45))))))</f>
        <v>0</v>
      </c>
    </row>
    <row r="406" spans="1:7" x14ac:dyDescent="0.3">
      <c r="A406" t="s">
        <v>201</v>
      </c>
      <c r="B406" t="s">
        <v>248</v>
      </c>
      <c r="C406" s="13">
        <f>400+450+50</f>
        <v>900</v>
      </c>
      <c r="D406" s="37">
        <v>1</v>
      </c>
      <c r="E406" s="13">
        <f>C406</f>
        <v>900</v>
      </c>
      <c r="F406" s="13">
        <f>$C406+($D406*F$392)</f>
        <v>984</v>
      </c>
      <c r="G406" s="13">
        <f>F406</f>
        <v>984</v>
      </c>
    </row>
    <row r="407" spans="1:7" x14ac:dyDescent="0.3">
      <c r="A407" t="s">
        <v>202</v>
      </c>
      <c r="B407" t="s">
        <v>712</v>
      </c>
      <c r="C407" s="13"/>
      <c r="D407" s="13"/>
      <c r="E407" s="13">
        <f>C407</f>
        <v>0</v>
      </c>
      <c r="F407" s="13">
        <f>E407</f>
        <v>0</v>
      </c>
      <c r="G407" s="13">
        <f>F407</f>
        <v>0</v>
      </c>
    </row>
    <row r="408" spans="1:7" x14ac:dyDescent="0.3">
      <c r="A408" t="s">
        <v>203</v>
      </c>
      <c r="B408" t="s">
        <v>1375</v>
      </c>
      <c r="C408" s="13"/>
      <c r="D408" s="37">
        <f>4+1+10</f>
        <v>15</v>
      </c>
      <c r="E408" s="13">
        <f>$C408+($D408*E$392)</f>
        <v>1260</v>
      </c>
      <c r="F408" s="13">
        <f>$C408+($D408*F$392)</f>
        <v>1260</v>
      </c>
      <c r="G408" s="13">
        <f>F408*(1+(IF('Attributes Inputs and Outputs'!$O$8=Inputs!$C$44,Inputs!$C$45,IF('Attributes Inputs and Outputs'!$O$8=Inputs!$D$44,Inputs!$D$45,IF('Attributes Inputs and Outputs'!$O$8=Inputs!$E$44,Inputs!$E$45,IF('Attributes Inputs and Outputs'!$O$8=Inputs!$F$44,Inputs!$F$45,Inputs!$G$45))))))</f>
        <v>1260</v>
      </c>
    </row>
    <row r="409" spans="1:7" x14ac:dyDescent="0.3">
      <c r="A409" t="s">
        <v>146</v>
      </c>
      <c r="B409" t="s">
        <v>249</v>
      </c>
      <c r="C409" s="13">
        <f>150*2</f>
        <v>300</v>
      </c>
      <c r="D409" s="37">
        <v>1.3</v>
      </c>
      <c r="E409" s="13">
        <f>C409</f>
        <v>300</v>
      </c>
      <c r="F409" s="13">
        <f>$C409+($D409*F$392)</f>
        <v>409.2</v>
      </c>
      <c r="G409" s="13">
        <f>F409</f>
        <v>409.2</v>
      </c>
    </row>
    <row r="410" spans="1:7" x14ac:dyDescent="0.3">
      <c r="A410" t="s">
        <v>246</v>
      </c>
      <c r="B410" t="s">
        <v>187</v>
      </c>
      <c r="C410" s="13"/>
      <c r="D410" s="37"/>
      <c r="E410" s="13"/>
      <c r="F410" s="13"/>
      <c r="G410" s="13"/>
    </row>
    <row r="411" spans="1:7" x14ac:dyDescent="0.3">
      <c r="D411" s="39" t="s">
        <v>130</v>
      </c>
      <c r="E411" s="40">
        <f>SUM(E403:E410)</f>
        <v>7560</v>
      </c>
      <c r="F411" s="40">
        <f>SUM(F403:F410)</f>
        <v>8677.2000000000007</v>
      </c>
      <c r="G411" s="40">
        <f>SUM(G403:G410)</f>
        <v>8677.2000000000007</v>
      </c>
    </row>
    <row r="412" spans="1:7" x14ac:dyDescent="0.3">
      <c r="A412" s="7" t="s">
        <v>63</v>
      </c>
      <c r="F412" s="13"/>
    </row>
    <row r="413" spans="1:7" x14ac:dyDescent="0.3">
      <c r="A413" t="s">
        <v>198</v>
      </c>
      <c r="B413" t="s">
        <v>206</v>
      </c>
      <c r="C413" s="13">
        <f>1500+450+250+100</f>
        <v>2300</v>
      </c>
      <c r="D413" s="37"/>
      <c r="E413" s="13">
        <f>C413</f>
        <v>2300</v>
      </c>
      <c r="F413" s="13">
        <f>E413</f>
        <v>2300</v>
      </c>
      <c r="G413" s="13">
        <f>F413</f>
        <v>2300</v>
      </c>
    </row>
    <row r="414" spans="1:7" x14ac:dyDescent="0.3">
      <c r="A414" t="s">
        <v>244</v>
      </c>
      <c r="B414" t="s">
        <v>250</v>
      </c>
      <c r="C414" s="13">
        <f>6000+50*24+300</f>
        <v>7500</v>
      </c>
      <c r="D414" s="37">
        <v>30</v>
      </c>
      <c r="E414" s="13">
        <f>C414</f>
        <v>7500</v>
      </c>
      <c r="F414" s="13">
        <f t="shared" ref="F414:F420" si="13">$C414+($D414*F$392)</f>
        <v>10020</v>
      </c>
      <c r="G414" s="13">
        <f>F414*(1+(Inputs!$C$43*('Attributes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10020</v>
      </c>
    </row>
    <row r="415" spans="1:7" x14ac:dyDescent="0.3">
      <c r="A415" t="s">
        <v>200</v>
      </c>
      <c r="B415" t="s">
        <v>251</v>
      </c>
      <c r="C415" s="13">
        <f>4*2*50</f>
        <v>400</v>
      </c>
      <c r="D415" s="37">
        <v>1.8</v>
      </c>
      <c r="E415" s="13">
        <f>C415</f>
        <v>400</v>
      </c>
      <c r="F415" s="13">
        <f t="shared" si="13"/>
        <v>551.20000000000005</v>
      </c>
      <c r="G415" s="13">
        <f>F415*(1+(IF('Attributes Inputs and Outputs'!$O$8=Inputs!$C$44,Inputs!$C$45,IF('Attributes Inputs and Outputs'!$O$8=Inputs!$D$44,Inputs!$D$45,IF('Attributes Inputs and Outputs'!$O$8=Inputs!$E$44,Inputs!$E$45,IF('Attributes Inputs and Outputs'!$O$8=Inputs!$F$44,Inputs!$F$45,Inputs!$G$45))))))</f>
        <v>551.20000000000005</v>
      </c>
    </row>
    <row r="416" spans="1:7" x14ac:dyDescent="0.3">
      <c r="A416" t="s">
        <v>201</v>
      </c>
      <c r="B416" t="s">
        <v>171</v>
      </c>
      <c r="C416" s="13">
        <f>400+450</f>
        <v>850</v>
      </c>
      <c r="D416" s="13">
        <v>1</v>
      </c>
      <c r="E416" s="13">
        <f>C416</f>
        <v>850</v>
      </c>
      <c r="F416" s="13">
        <f t="shared" si="13"/>
        <v>934</v>
      </c>
      <c r="G416" s="13">
        <f>F416</f>
        <v>934</v>
      </c>
    </row>
    <row r="417" spans="1:7" x14ac:dyDescent="0.3">
      <c r="A417" t="s">
        <v>202</v>
      </c>
      <c r="B417" t="s">
        <v>252</v>
      </c>
      <c r="C417" s="13">
        <f>200+6*10+300</f>
        <v>560</v>
      </c>
      <c r="D417" s="13">
        <v>2</v>
      </c>
      <c r="E417" s="13">
        <f>C417</f>
        <v>560</v>
      </c>
      <c r="F417" s="13">
        <f t="shared" si="13"/>
        <v>728</v>
      </c>
      <c r="G417" s="13">
        <f>F417*(1+(Inputs!$C$43*('Attributes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728</v>
      </c>
    </row>
    <row r="418" spans="1:7" x14ac:dyDescent="0.3">
      <c r="A418" t="s">
        <v>203</v>
      </c>
      <c r="B418" t="s">
        <v>1376</v>
      </c>
      <c r="C418" s="13"/>
      <c r="D418" s="37">
        <f>8+1+10</f>
        <v>19</v>
      </c>
      <c r="E418" s="13">
        <f>$C418+($D418*E$392)</f>
        <v>1596</v>
      </c>
      <c r="F418" s="13">
        <f t="shared" si="13"/>
        <v>1596</v>
      </c>
      <c r="G418" s="13">
        <f>F418*(1+(IF('Attributes Inputs and Outputs'!$O$8=Inputs!$C$44,Inputs!$C$45,IF('Attributes Inputs and Outputs'!$O$8=Inputs!$D$44,Inputs!$D$45,IF('Attributes Inputs and Outputs'!$O$8=Inputs!$E$44,Inputs!$E$45,IF('Attributes Inputs and Outputs'!$O$8=Inputs!$F$44,Inputs!$F$45,Inputs!$G$45))))))</f>
        <v>1596</v>
      </c>
    </row>
    <row r="419" spans="1:7" x14ac:dyDescent="0.3">
      <c r="A419" t="s">
        <v>146</v>
      </c>
      <c r="B419" t="s">
        <v>213</v>
      </c>
      <c r="C419" s="13">
        <f>3*125+400</f>
        <v>775</v>
      </c>
      <c r="D419" s="37">
        <v>3.4</v>
      </c>
      <c r="E419" s="13">
        <f>C419</f>
        <v>775</v>
      </c>
      <c r="F419" s="13">
        <f t="shared" si="13"/>
        <v>1060.5999999999999</v>
      </c>
      <c r="G419" s="13">
        <f>F419</f>
        <v>1060.5999999999999</v>
      </c>
    </row>
    <row r="420" spans="1:7" x14ac:dyDescent="0.3">
      <c r="A420" t="s">
        <v>253</v>
      </c>
      <c r="B420" t="s">
        <v>254</v>
      </c>
      <c r="C420" s="13">
        <f>600+5*(4*3+4*9+3*2*9)+200+450</f>
        <v>1760</v>
      </c>
      <c r="D420" s="13">
        <v>0.5</v>
      </c>
      <c r="E420" s="13">
        <f>C420</f>
        <v>1760</v>
      </c>
      <c r="F420" s="13">
        <f t="shared" si="13"/>
        <v>1802</v>
      </c>
      <c r="G420" s="13">
        <f>F420*(1+(Inputs!$C$43*('Attributes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1802</v>
      </c>
    </row>
    <row r="421" spans="1:7" x14ac:dyDescent="0.3">
      <c r="D421" s="39" t="s">
        <v>133</v>
      </c>
      <c r="E421" s="40">
        <f>SUM(E413:E420)</f>
        <v>15741</v>
      </c>
      <c r="F421" s="40">
        <f>SUM(F413:F420)</f>
        <v>18991.8</v>
      </c>
      <c r="G421" s="40">
        <f>SUM(G413:G420)</f>
        <v>18991.8</v>
      </c>
    </row>
    <row r="422" spans="1:7" x14ac:dyDescent="0.3">
      <c r="A422" s="7" t="s">
        <v>64</v>
      </c>
      <c r="B422" s="13"/>
      <c r="F422" s="13"/>
      <c r="G422" t="s">
        <v>194</v>
      </c>
    </row>
    <row r="423" spans="1:7" x14ac:dyDescent="0.3">
      <c r="A423" t="s">
        <v>198</v>
      </c>
      <c r="B423" t="s">
        <v>210</v>
      </c>
      <c r="C423" s="13">
        <f>3000+450+250+100</f>
        <v>3800</v>
      </c>
      <c r="D423" s="37"/>
      <c r="E423" s="13">
        <f>C423</f>
        <v>3800</v>
      </c>
      <c r="F423" s="13">
        <f>E423</f>
        <v>3800</v>
      </c>
      <c r="G423" s="13">
        <f>F423</f>
        <v>3800</v>
      </c>
    </row>
    <row r="424" spans="1:7" x14ac:dyDescent="0.3">
      <c r="A424" t="s">
        <v>244</v>
      </c>
      <c r="B424" t="s">
        <v>255</v>
      </c>
      <c r="C424" s="13">
        <f>10000+1500</f>
        <v>11500</v>
      </c>
      <c r="D424" s="37">
        <v>38</v>
      </c>
      <c r="E424" s="13">
        <f>C424</f>
        <v>11500</v>
      </c>
      <c r="F424" s="13">
        <f t="shared" ref="F424:F430" si="14">$C424+($D424*F$392)</f>
        <v>14692</v>
      </c>
      <c r="G424" s="13">
        <f>F424*(1+(Inputs!$C$43*('Attributes Inputs and Outputs'!$L$8-'Defaults and Ranges'!$O$6)))*(1+(IF('Attributes Inputs and Outputs'!$O$8=Inputs!$C$44,Inputs!$C$45,IF('Attributes Inputs and Outputs'!$O$8=Inputs!$D$44,Inputs!$D$45,IF('Attributes Inputs and Outputs'!$O$8=Inputs!$E$44,Inputs!$E$45,IF('Attributes Inputs and Outputs'!$O$8=Inputs!$F$44,Inputs!$F$45,Inputs!$G$45))))))</f>
        <v>14692</v>
      </c>
    </row>
    <row r="425" spans="1:7" x14ac:dyDescent="0.3">
      <c r="A425" t="s">
        <v>200</v>
      </c>
      <c r="B425" t="s">
        <v>215</v>
      </c>
      <c r="C425" s="13">
        <f>10*2*75</f>
        <v>1500</v>
      </c>
      <c r="D425" s="37">
        <v>3.5</v>
      </c>
      <c r="E425" s="13">
        <f>C425</f>
        <v>1500</v>
      </c>
      <c r="F425" s="13">
        <f t="shared" si="14"/>
        <v>1794</v>
      </c>
      <c r="G425" s="13">
        <f>F425*(1+(IF('Attributes Inputs and Outputs'!$O$8=Inputs!$C$44,Inputs!$C$45,IF('Attributes Inputs and Outputs'!$O$8=Inputs!$D$44,Inputs!$D$45,IF('Attributes Inputs and Outputs'!$O$8=Inputs!$E$44,Inputs!$E$45,IF('Attributes Inputs and Outputs'!$O$8=Inputs!$F$44,Inputs!$F$45,Inputs!$G$45))))))</f>
        <v>1794</v>
      </c>
    </row>
    <row r="426" spans="1:7" x14ac:dyDescent="0.3">
      <c r="A426" t="s">
        <v>201</v>
      </c>
      <c r="B426" t="s">
        <v>216</v>
      </c>
      <c r="C426" s="13">
        <f>1500+800</f>
        <v>2300</v>
      </c>
      <c r="D426" s="13">
        <v>3</v>
      </c>
      <c r="E426" s="13">
        <f>C426</f>
        <v>2300</v>
      </c>
      <c r="F426" s="13">
        <f t="shared" si="14"/>
        <v>2552</v>
      </c>
      <c r="G426" s="13">
        <f>F426</f>
        <v>2552</v>
      </c>
    </row>
    <row r="427" spans="1:7" x14ac:dyDescent="0.3">
      <c r="A427" t="s">
        <v>202</v>
      </c>
      <c r="B427" t="s">
        <v>714</v>
      </c>
      <c r="C427" s="13">
        <f>200+100+20*150+600</f>
        <v>3900</v>
      </c>
      <c r="D427" s="13">
        <v>13</v>
      </c>
      <c r="E427" s="13">
        <f>C427</f>
        <v>3900</v>
      </c>
      <c r="F427" s="13">
        <f t="shared" si="14"/>
        <v>4992</v>
      </c>
      <c r="G427" s="13">
        <f>F427*(1+(Inputs!$C$43*('Attributes Inputs and Outputs'!$L$8-'Defaults and Ranges'!$O$6)))*(1+(IF('Attributes Inputs and Outputs'!$O$8=Inputs!$C$44,Inputs!$C$45,IF('Attributes Inputs and Outputs'!$O$8=Inputs!$D$44,Inputs!$D$45,IF('Attributes Inputs and Outputs'!$O$8=Inputs!$E$44,Inputs!$E$45,IF('Attributes Inputs and Outputs'!$O$8=Inputs!$F$44,Inputs!$F$45,Inputs!$G$45))))))</f>
        <v>4992</v>
      </c>
    </row>
    <row r="428" spans="1:7" x14ac:dyDescent="0.3">
      <c r="A428" t="s">
        <v>203</v>
      </c>
      <c r="B428" t="s">
        <v>218</v>
      </c>
      <c r="C428" s="13"/>
      <c r="D428" s="37">
        <f>12+1+12</f>
        <v>25</v>
      </c>
      <c r="E428" s="13">
        <f>$C428+($D428*E$392)</f>
        <v>2100</v>
      </c>
      <c r="F428" s="13">
        <f t="shared" si="14"/>
        <v>2100</v>
      </c>
      <c r="G428" s="13">
        <f>F428*(1+(IF('Attributes Inputs and Outputs'!$O$8=Inputs!$C$44,Inputs!$C$45,IF('Attributes Inputs and Outputs'!$O$8=Inputs!$D$44,Inputs!$D$45,IF('Attributes Inputs and Outputs'!$O$8=Inputs!$E$44,Inputs!$E$45,IF('Attributes Inputs and Outputs'!$O$8=Inputs!$F$44,Inputs!$F$45,Inputs!$G$45))))))</f>
        <v>2100</v>
      </c>
    </row>
    <row r="429" spans="1:7" x14ac:dyDescent="0.3">
      <c r="A429" t="s">
        <v>146</v>
      </c>
      <c r="B429" t="s">
        <v>256</v>
      </c>
      <c r="C429" s="13">
        <f>6*125+400+500</f>
        <v>1650</v>
      </c>
      <c r="D429" s="37">
        <v>7</v>
      </c>
      <c r="E429" s="13">
        <f>C429</f>
        <v>1650</v>
      </c>
      <c r="F429" s="13">
        <f t="shared" si="14"/>
        <v>2238</v>
      </c>
      <c r="G429" s="13">
        <f>F429</f>
        <v>2238</v>
      </c>
    </row>
    <row r="430" spans="1:7" x14ac:dyDescent="0.3">
      <c r="A430" t="s">
        <v>253</v>
      </c>
      <c r="B430" t="s">
        <v>257</v>
      </c>
      <c r="C430" s="13">
        <f>650+15*(5*3+5*9+3*2*9)+200+450</f>
        <v>3010</v>
      </c>
      <c r="D430" s="13">
        <v>0</v>
      </c>
      <c r="E430" s="13">
        <f>C430</f>
        <v>3010</v>
      </c>
      <c r="F430" s="13">
        <f t="shared" si="14"/>
        <v>3010</v>
      </c>
      <c r="G430" s="13">
        <f>F430*(1+(Inputs!$C$43*('Attributes Inputs and Outputs'!$L$8-'Defaults and Ranges'!$O$6)))*(1+(IF('Attributes Inputs and Outputs'!$O$8=Inputs!$C$44,Inputs!$C$45,IF('Attributes Inputs and Outputs'!$O$8=Inputs!$D$44,Inputs!$D$45,IF('Attributes Inputs and Outputs'!$O$8=Inputs!$E$44,Inputs!$E$45,IF('Attributes Inputs and Outputs'!$O$8=Inputs!$F$44,Inputs!$F$45,Inputs!$G$45))))))</f>
        <v>3010</v>
      </c>
    </row>
    <row r="431" spans="1:7" x14ac:dyDescent="0.3">
      <c r="D431" s="39" t="s">
        <v>137</v>
      </c>
      <c r="E431" s="40">
        <f>SUM(E423:E430)</f>
        <v>29760</v>
      </c>
      <c r="F431" s="40">
        <f>SUM(F423:F430)</f>
        <v>35178</v>
      </c>
      <c r="G431" s="40">
        <f>SUM(G423:G430)</f>
        <v>35178</v>
      </c>
    </row>
    <row r="434" spans="1:11" x14ac:dyDescent="0.3">
      <c r="E434" t="s">
        <v>108</v>
      </c>
      <c r="F434" t="s">
        <v>158</v>
      </c>
      <c r="G434" t="s">
        <v>159</v>
      </c>
    </row>
    <row r="435" spans="1:11" x14ac:dyDescent="0.3">
      <c r="B435" t="s">
        <v>47</v>
      </c>
      <c r="F435" s="34">
        <v>5.0000000000000001E-3</v>
      </c>
    </row>
    <row r="436" spans="1:11" x14ac:dyDescent="0.3">
      <c r="C436">
        <f>87*8</f>
        <v>696</v>
      </c>
      <c r="D436" t="s">
        <v>258</v>
      </c>
      <c r="E436" s="16">
        <f>7*8</f>
        <v>56</v>
      </c>
      <c r="F436" s="11">
        <f>E436+('Attributes Back Calcs'!$G$10-'Defaults and Ranges'!$D$7)*F435</f>
        <v>56</v>
      </c>
    </row>
    <row r="437" spans="1:11" ht="15" thickBot="1" x14ac:dyDescent="0.35">
      <c r="A437" s="7" t="s">
        <v>61</v>
      </c>
      <c r="D437" t="s">
        <v>259</v>
      </c>
      <c r="E437">
        <v>120</v>
      </c>
      <c r="F437" s="11">
        <f>E437+('Attributes Back Calcs'!$G$10-'Defaults and Ranges'!$D$7)*F435*2</f>
        <v>120</v>
      </c>
    </row>
    <row r="438" spans="1:11" x14ac:dyDescent="0.3">
      <c r="A438" t="s">
        <v>260</v>
      </c>
      <c r="B438" t="s">
        <v>261</v>
      </c>
      <c r="C438" s="13">
        <f>1500+500</f>
        <v>2000</v>
      </c>
      <c r="D438" s="37">
        <v>7</v>
      </c>
      <c r="E438" s="13">
        <f t="shared" ref="E438:E445" si="15">C438</f>
        <v>2000</v>
      </c>
      <c r="F438" s="13">
        <f>C438+D438*(F$436-E$436)</f>
        <v>2000</v>
      </c>
      <c r="G438" s="13">
        <f>F438*(1+(Inputs!$C$43*('Attributes Inputs and Outputs'!$K$8-'Defaults and Ranges'!$N$6)))</f>
        <v>2000</v>
      </c>
      <c r="I438" s="70" t="s">
        <v>1008</v>
      </c>
      <c r="J438" s="71"/>
      <c r="K438" s="72"/>
    </row>
    <row r="439" spans="1:11" x14ac:dyDescent="0.3">
      <c r="A439" t="s">
        <v>262</v>
      </c>
      <c r="B439" t="s">
        <v>263</v>
      </c>
      <c r="C439" s="13">
        <v>200</v>
      </c>
      <c r="D439" s="37">
        <v>2</v>
      </c>
      <c r="E439" s="13">
        <f t="shared" si="15"/>
        <v>200</v>
      </c>
      <c r="F439" s="13">
        <f>C439+(F$436-E$436)*D439</f>
        <v>200</v>
      </c>
      <c r="G439" s="13">
        <f>F439*(1+(Inputs!$C$43*('Attributes Inputs and Outputs'!$K$8-'Defaults and Ranges'!$N$6)))</f>
        <v>200</v>
      </c>
      <c r="I439" s="73" t="s">
        <v>988</v>
      </c>
      <c r="J439" t="s">
        <v>992</v>
      </c>
      <c r="K439" s="74" t="s">
        <v>994</v>
      </c>
    </row>
    <row r="440" spans="1:11" x14ac:dyDescent="0.3">
      <c r="A440" t="s">
        <v>141</v>
      </c>
      <c r="B440" t="s">
        <v>264</v>
      </c>
      <c r="C440" s="13">
        <v>300</v>
      </c>
      <c r="D440" s="37">
        <v>2</v>
      </c>
      <c r="E440" s="13">
        <f t="shared" si="15"/>
        <v>300</v>
      </c>
      <c r="F440" s="13">
        <f>C440+(F$436-E$436)*D440</f>
        <v>300</v>
      </c>
      <c r="G440" s="13">
        <f>F440*(1+(Inputs!$C$43*('Attributes Inputs and Outputs'!$K$8-'Defaults and Ranges'!$N$6)))</f>
        <v>300</v>
      </c>
      <c r="I440" s="73" t="s">
        <v>61</v>
      </c>
      <c r="J440">
        <v>1</v>
      </c>
      <c r="K440" s="74">
        <v>1</v>
      </c>
    </row>
    <row r="441" spans="1:11" x14ac:dyDescent="0.3">
      <c r="A441" t="s">
        <v>178</v>
      </c>
      <c r="B441" t="s">
        <v>264</v>
      </c>
      <c r="C441" s="13">
        <v>30</v>
      </c>
      <c r="D441" s="37">
        <v>0.5</v>
      </c>
      <c r="E441" s="13">
        <f t="shared" si="15"/>
        <v>30</v>
      </c>
      <c r="F441" s="13">
        <f>C441+(F$436-E$436)*D441</f>
        <v>30</v>
      </c>
      <c r="G441" s="13">
        <f>F441</f>
        <v>30</v>
      </c>
      <c r="I441" s="73" t="s">
        <v>63</v>
      </c>
      <c r="J441">
        <v>7</v>
      </c>
      <c r="K441" s="82">
        <f>J441+(IF('Attributes Calculations'!$E$16&gt;2500,'Attributes Calculations'!$E$16 /2100, 0))</f>
        <v>7</v>
      </c>
    </row>
    <row r="442" spans="1:11" x14ac:dyDescent="0.3">
      <c r="A442" t="s">
        <v>221</v>
      </c>
      <c r="B442" t="s">
        <v>265</v>
      </c>
      <c r="C442" s="13"/>
      <c r="D442" s="13">
        <f>2+1+10</f>
        <v>13</v>
      </c>
      <c r="E442" s="13">
        <f>D442*E436</f>
        <v>728</v>
      </c>
      <c r="F442" s="13">
        <f>D442*F436</f>
        <v>728</v>
      </c>
      <c r="G442" s="13">
        <f>F442</f>
        <v>728</v>
      </c>
      <c r="I442" s="73" t="s">
        <v>64</v>
      </c>
      <c r="J442">
        <v>8</v>
      </c>
      <c r="K442" s="82">
        <f>J442+(IF('Attributes Calculations'!$E$16&gt;2500,'Attributes Calculations'!$E$16 /2100, 0))</f>
        <v>8</v>
      </c>
    </row>
    <row r="443" spans="1:11" x14ac:dyDescent="0.3">
      <c r="A443" t="s">
        <v>266</v>
      </c>
      <c r="B443" t="s">
        <v>267</v>
      </c>
      <c r="C443" s="13">
        <f>5*200+200</f>
        <v>1200</v>
      </c>
      <c r="D443" s="37">
        <v>7</v>
      </c>
      <c r="E443" s="13">
        <f t="shared" si="15"/>
        <v>1200</v>
      </c>
      <c r="F443" s="13">
        <f>C443+(F$436-E$436)*D443</f>
        <v>1200</v>
      </c>
      <c r="G443" s="13">
        <f>F443*(1+(Inputs!$C$43*('Attributes Inputs and Outputs'!$K$8-'Defaults and Ranges'!$N$6)))</f>
        <v>1200</v>
      </c>
      <c r="I443" s="73" t="s">
        <v>62</v>
      </c>
      <c r="J443">
        <v>4</v>
      </c>
      <c r="K443" s="82">
        <v>4</v>
      </c>
    </row>
    <row r="444" spans="1:11" x14ac:dyDescent="0.3">
      <c r="A444" t="s">
        <v>146</v>
      </c>
      <c r="B444" t="s">
        <v>268</v>
      </c>
      <c r="C444" s="13">
        <v>100</v>
      </c>
      <c r="D444" s="37"/>
      <c r="E444" s="13">
        <f t="shared" si="15"/>
        <v>100</v>
      </c>
      <c r="F444" s="13">
        <f>E444</f>
        <v>100</v>
      </c>
      <c r="G444" s="13">
        <f>F444</f>
        <v>100</v>
      </c>
      <c r="I444" s="73"/>
      <c r="K444" s="74"/>
    </row>
    <row r="445" spans="1:11" ht="15" thickBot="1" x14ac:dyDescent="0.35">
      <c r="A445" t="s">
        <v>269</v>
      </c>
      <c r="B445" t="s">
        <v>270</v>
      </c>
      <c r="C445" s="13">
        <v>450</v>
      </c>
      <c r="D445" s="37"/>
      <c r="E445" s="13">
        <f t="shared" si="15"/>
        <v>450</v>
      </c>
      <c r="F445" s="13">
        <f>E445</f>
        <v>450</v>
      </c>
      <c r="G445" s="13">
        <f>F445*(1+(Inputs!$C$43*('Attributes Inputs and Outputs'!$K$8-'Defaults and Ranges'!$N$6)))</f>
        <v>450</v>
      </c>
      <c r="I445" s="75"/>
      <c r="J445" s="76" t="s">
        <v>990</v>
      </c>
      <c r="K445" s="83">
        <f xml:space="preserve"> IF('Attributes Inputs and Outputs'!H15='Defaults and Ranges'!K27, LOOKUP('Packages Inputs and Outputs'!E38, I440:I443, K440:K443), 0)</f>
        <v>0</v>
      </c>
    </row>
    <row r="446" spans="1:11" x14ac:dyDescent="0.3">
      <c r="D446" s="39" t="s">
        <v>127</v>
      </c>
      <c r="E446" s="40">
        <f>SUM(E438:E445)</f>
        <v>5008</v>
      </c>
      <c r="F446" s="40">
        <f>SUM(F438:F445)</f>
        <v>5008</v>
      </c>
      <c r="G446" s="40">
        <f>SUM(G438:G445)</f>
        <v>5008</v>
      </c>
    </row>
    <row r="447" spans="1:11" x14ac:dyDescent="0.3">
      <c r="A447" s="7" t="s">
        <v>62</v>
      </c>
      <c r="C447" s="13"/>
      <c r="D447" s="13"/>
      <c r="E447" s="13"/>
      <c r="F447" s="13"/>
    </row>
    <row r="448" spans="1:11" x14ac:dyDescent="0.3">
      <c r="A448" t="s">
        <v>260</v>
      </c>
      <c r="B448" t="s">
        <v>261</v>
      </c>
      <c r="C448" s="13">
        <f>1500+500</f>
        <v>2000</v>
      </c>
      <c r="D448" s="37">
        <v>7</v>
      </c>
      <c r="E448" s="13">
        <f>C448</f>
        <v>2000</v>
      </c>
      <c r="F448" s="13">
        <f>C448+D448*(F$436-E$436)</f>
        <v>2000</v>
      </c>
      <c r="G448" s="13">
        <f>F448*(1+(Inputs!$C$43*('Attributes Inputs and Outputs'!$K$8-'Defaults and Ranges'!$N$6)))</f>
        <v>2000</v>
      </c>
    </row>
    <row r="449" spans="1:7" x14ac:dyDescent="0.3">
      <c r="A449" t="s">
        <v>262</v>
      </c>
      <c r="B449" t="s">
        <v>271</v>
      </c>
      <c r="C449" s="13">
        <v>400</v>
      </c>
      <c r="D449" s="37">
        <v>4</v>
      </c>
      <c r="E449" s="13">
        <f>C449</f>
        <v>400</v>
      </c>
      <c r="F449" s="13">
        <f>C449+(F$436-E$436)*D449</f>
        <v>400</v>
      </c>
      <c r="G449" s="13">
        <f>F449*(1+(Inputs!$C$43*('Attributes Inputs and Outputs'!$K$8-'Defaults and Ranges'!$N$6)))</f>
        <v>400</v>
      </c>
    </row>
    <row r="450" spans="1:7" x14ac:dyDescent="0.3">
      <c r="A450" t="s">
        <v>141</v>
      </c>
      <c r="B450" t="s">
        <v>264</v>
      </c>
      <c r="C450" s="13">
        <v>300</v>
      </c>
      <c r="D450" s="37">
        <v>2</v>
      </c>
      <c r="E450" s="13">
        <f>C450</f>
        <v>300</v>
      </c>
      <c r="F450" s="13">
        <f>C450+(F$436-E$436)*D450</f>
        <v>300</v>
      </c>
      <c r="G450" s="13">
        <f>F450*(1+(Inputs!$C$43*('Attributes Inputs and Outputs'!$K$8-'Defaults and Ranges'!$N$6)))</f>
        <v>300</v>
      </c>
    </row>
    <row r="451" spans="1:7" x14ac:dyDescent="0.3">
      <c r="A451" t="s">
        <v>178</v>
      </c>
      <c r="B451" t="s">
        <v>272</v>
      </c>
      <c r="C451" s="13"/>
      <c r="D451" s="13">
        <f>5+2</f>
        <v>7</v>
      </c>
      <c r="E451" s="13">
        <f>$D451*E436</f>
        <v>392</v>
      </c>
      <c r="F451" s="13">
        <f>$D451*F436</f>
        <v>392</v>
      </c>
      <c r="G451" s="13">
        <f>F451*(1+(IF('Attributes Inputs and Outputs'!$O$8=Inputs!$C$44,Inputs!$C$45,IF('Attributes Inputs and Outputs'!$O$8=Inputs!$D$44,Inputs!$D$45,IF('Attributes Inputs and Outputs'!$O$8=Inputs!$E$44,Inputs!$E$45,IF('Attributes Inputs and Outputs'!$O$8=Inputs!$F$44,Inputs!$F$45,Inputs!$G$45))))))</f>
        <v>392</v>
      </c>
    </row>
    <row r="452" spans="1:7" x14ac:dyDescent="0.3">
      <c r="A452" t="s">
        <v>221</v>
      </c>
      <c r="B452" t="s">
        <v>273</v>
      </c>
      <c r="C452" s="13"/>
      <c r="D452" s="37">
        <f>4+1+10</f>
        <v>15</v>
      </c>
      <c r="E452" s="13">
        <f>$D452*E437</f>
        <v>1800</v>
      </c>
      <c r="F452" s="13">
        <f>$D452*F437</f>
        <v>1800</v>
      </c>
      <c r="G452" s="13">
        <f>F452*(1+(IF('Attributes Inputs and Outputs'!$O$8=Inputs!$C$44,Inputs!$C$45,IF('Attributes Inputs and Outputs'!$O$8=Inputs!$D$44,Inputs!$D$45,IF('Attributes Inputs and Outputs'!$O$8=Inputs!$E$44,Inputs!$E$45,IF('Attributes Inputs and Outputs'!$O$8=Inputs!$F$44,Inputs!$F$45,Inputs!$G$45))))))</f>
        <v>1800</v>
      </c>
    </row>
    <row r="453" spans="1:7" x14ac:dyDescent="0.3">
      <c r="A453" t="s">
        <v>266</v>
      </c>
      <c r="B453" t="s">
        <v>274</v>
      </c>
      <c r="C453" s="13">
        <v>2500</v>
      </c>
      <c r="D453" s="37">
        <v>40</v>
      </c>
      <c r="E453" s="13">
        <f>C453</f>
        <v>2500</v>
      </c>
      <c r="F453" s="13">
        <f>C453+(F$436-E$436)*D453</f>
        <v>2500</v>
      </c>
      <c r="G453" s="13">
        <f>F453*(1+(Inputs!$C$43*('Attributes Inputs and Outputs'!$K$8-'Defaults and Ranges'!$N$6)))</f>
        <v>2500</v>
      </c>
    </row>
    <row r="454" spans="1:7" x14ac:dyDescent="0.3">
      <c r="A454" t="s">
        <v>146</v>
      </c>
      <c r="B454" t="s">
        <v>275</v>
      </c>
      <c r="C454" s="13">
        <f>125*4</f>
        <v>500</v>
      </c>
      <c r="D454" s="37">
        <f>C454</f>
        <v>500</v>
      </c>
      <c r="E454" s="37">
        <f>D454</f>
        <v>500</v>
      </c>
      <c r="F454" s="37">
        <f>E454</f>
        <v>500</v>
      </c>
      <c r="G454" s="37">
        <f>F454</f>
        <v>500</v>
      </c>
    </row>
    <row r="455" spans="1:7" x14ac:dyDescent="0.3">
      <c r="A455" t="s">
        <v>269</v>
      </c>
      <c r="B455" t="s">
        <v>276</v>
      </c>
      <c r="C455" s="13">
        <f>2500+300</f>
        <v>2800</v>
      </c>
      <c r="D455" s="37"/>
      <c r="E455" s="13">
        <f>C455</f>
        <v>2800</v>
      </c>
      <c r="F455" s="13">
        <f>E455</f>
        <v>2800</v>
      </c>
      <c r="G455" s="13">
        <f>F455*(1+(Inputs!$C$43*('Attributes Inputs and Outputs'!$K$8-'Defaults and Ranges'!$N$6)))</f>
        <v>2800</v>
      </c>
    </row>
    <row r="456" spans="1:7" x14ac:dyDescent="0.3">
      <c r="D456" s="39" t="s">
        <v>130</v>
      </c>
      <c r="E456" s="40">
        <f>SUM(E448:E455)</f>
        <v>10692</v>
      </c>
      <c r="F456" s="40">
        <f>SUM(F448:F455)</f>
        <v>10692</v>
      </c>
      <c r="G456" s="40">
        <f>SUM(G448:G455)</f>
        <v>10692</v>
      </c>
    </row>
    <row r="457" spans="1:7" x14ac:dyDescent="0.3">
      <c r="A457" s="7" t="s">
        <v>63</v>
      </c>
      <c r="F457" s="13"/>
    </row>
    <row r="458" spans="1:7" x14ac:dyDescent="0.3">
      <c r="A458" t="s">
        <v>260</v>
      </c>
      <c r="B458" t="s">
        <v>277</v>
      </c>
      <c r="C458" s="13">
        <v>5000</v>
      </c>
      <c r="D458" s="37">
        <v>7</v>
      </c>
      <c r="E458" s="13">
        <f>C458</f>
        <v>5000</v>
      </c>
      <c r="F458" s="13">
        <f>C458+D458*(F$437-E$437)</f>
        <v>5000</v>
      </c>
      <c r="G458" s="13">
        <f>F458*(1+(Inputs!$C$43*('Attributes Inputs and Outputs'!$K$8-'Defaults and Ranges'!$N$6)))</f>
        <v>5000</v>
      </c>
    </row>
    <row r="459" spans="1:7" x14ac:dyDescent="0.3">
      <c r="A459" t="s">
        <v>262</v>
      </c>
      <c r="B459" t="s">
        <v>278</v>
      </c>
      <c r="C459" s="13">
        <v>2000</v>
      </c>
      <c r="D459" s="37">
        <v>4</v>
      </c>
      <c r="E459" s="13">
        <f>C459</f>
        <v>2000</v>
      </c>
      <c r="F459" s="13">
        <f>C459+(F$437-E$437)*D459</f>
        <v>2000</v>
      </c>
      <c r="G459" s="13">
        <f>F459*(1+(Inputs!$C$43*('Attributes Inputs and Outputs'!$K$8-'Defaults and Ranges'!$N$6)))</f>
        <v>2000</v>
      </c>
    </row>
    <row r="460" spans="1:7" x14ac:dyDescent="0.3">
      <c r="A460" t="s">
        <v>141</v>
      </c>
      <c r="B460" t="s">
        <v>279</v>
      </c>
      <c r="C460" s="13">
        <f>15*10*8</f>
        <v>1200</v>
      </c>
      <c r="D460" s="37">
        <v>6</v>
      </c>
      <c r="E460" s="13">
        <f>C460</f>
        <v>1200</v>
      </c>
      <c r="F460" s="13">
        <f>C460+(F$437-E$437)*D460</f>
        <v>1200</v>
      </c>
      <c r="G460" s="13">
        <f>F460*(1+(Inputs!$C$43*('Attributes Inputs and Outputs'!$K$8-'Defaults and Ranges'!$N$6)))</f>
        <v>1200</v>
      </c>
    </row>
    <row r="461" spans="1:7" x14ac:dyDescent="0.3">
      <c r="A461" t="s">
        <v>178</v>
      </c>
      <c r="B461" t="s">
        <v>280</v>
      </c>
      <c r="C461" s="13"/>
      <c r="D461" s="37">
        <v>17</v>
      </c>
      <c r="E461" s="13">
        <f>$D461*E$437</f>
        <v>2040</v>
      </c>
      <c r="F461" s="13">
        <f>$D461*F$437</f>
        <v>2040</v>
      </c>
      <c r="G461" s="13">
        <f>F461*(1+(IF('Attributes Inputs and Outputs'!$O$8=Inputs!$C$44,Inputs!$C$45,IF('Attributes Inputs and Outputs'!$O$8=Inputs!$D$44,Inputs!$D$45,IF('Attributes Inputs and Outputs'!$O$8=Inputs!$E$44,Inputs!$E$45,IF('Attributes Inputs and Outputs'!$O$8=Inputs!$F$44,Inputs!$F$45,Inputs!$G$45))))))</f>
        <v>2040</v>
      </c>
    </row>
    <row r="462" spans="1:7" x14ac:dyDescent="0.3">
      <c r="A462" t="s">
        <v>221</v>
      </c>
      <c r="B462" t="s">
        <v>281</v>
      </c>
      <c r="C462" s="13"/>
      <c r="D462" s="37">
        <f>10+1+12</f>
        <v>23</v>
      </c>
      <c r="E462" s="13">
        <f>$D462*E$437</f>
        <v>2760</v>
      </c>
      <c r="F462" s="13">
        <f>$D462*F$437</f>
        <v>2760</v>
      </c>
      <c r="G462" s="13">
        <f>F462*(1+(IF('Attributes Inputs and Outputs'!$O$8=Inputs!$C$44,Inputs!$C$45,IF('Attributes Inputs and Outputs'!$O$8=Inputs!$D$44,Inputs!$D$45,IF('Attributes Inputs and Outputs'!$O$8=Inputs!$E$44,Inputs!$E$45,IF('Attributes Inputs and Outputs'!$O$8=Inputs!$F$44,Inputs!$F$45,Inputs!$G$45))))))</f>
        <v>2760</v>
      </c>
    </row>
    <row r="463" spans="1:7" x14ac:dyDescent="0.3">
      <c r="A463" t="s">
        <v>266</v>
      </c>
      <c r="B463" t="s">
        <v>282</v>
      </c>
      <c r="C463" s="13">
        <v>5000</v>
      </c>
      <c r="D463" s="37">
        <v>40</v>
      </c>
      <c r="E463" s="13">
        <f>C463</f>
        <v>5000</v>
      </c>
      <c r="F463" s="13">
        <f>C463+D463*(F$437-E$437)</f>
        <v>5000</v>
      </c>
      <c r="G463" s="13">
        <f>F463*(1+(Inputs!$C$43*('Attributes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5000</v>
      </c>
    </row>
    <row r="464" spans="1:7" x14ac:dyDescent="0.3">
      <c r="A464" t="s">
        <v>146</v>
      </c>
      <c r="B464" t="s">
        <v>283</v>
      </c>
      <c r="C464" s="13">
        <f>6*125+600</f>
        <v>1350</v>
      </c>
      <c r="D464" s="37">
        <v>8</v>
      </c>
      <c r="E464" s="13">
        <f>C464</f>
        <v>1350</v>
      </c>
      <c r="F464" s="13">
        <f>C464+D464*(F$437-E$437)</f>
        <v>1350</v>
      </c>
      <c r="G464" s="13">
        <f>F464</f>
        <v>1350</v>
      </c>
    </row>
    <row r="465" spans="1:7" x14ac:dyDescent="0.3">
      <c r="A465" t="s">
        <v>269</v>
      </c>
      <c r="B465" t="s">
        <v>284</v>
      </c>
      <c r="C465" s="13">
        <v>4000</v>
      </c>
      <c r="D465" s="13"/>
      <c r="E465" s="13">
        <f>C465</f>
        <v>4000</v>
      </c>
      <c r="F465" s="13">
        <f>E465</f>
        <v>4000</v>
      </c>
      <c r="G465" s="13">
        <f>F465*(1+(Inputs!$C$43*('Attributes Inputs and Outputs'!$K$8-'Defaults and Ranges'!$N$6)))</f>
        <v>4000</v>
      </c>
    </row>
    <row r="466" spans="1:7" x14ac:dyDescent="0.3">
      <c r="D466" s="39" t="s">
        <v>133</v>
      </c>
      <c r="E466" s="40">
        <f>SUM(E458:E465)</f>
        <v>23350</v>
      </c>
      <c r="F466" s="40">
        <f>SUM(F458:F465)</f>
        <v>23350</v>
      </c>
      <c r="G466" s="40">
        <f>SUM(G458:G465)</f>
        <v>23350</v>
      </c>
    </row>
    <row r="467" spans="1:7" x14ac:dyDescent="0.3">
      <c r="A467" s="7" t="s">
        <v>64</v>
      </c>
      <c r="B467" s="13"/>
      <c r="F467" s="13"/>
    </row>
    <row r="468" spans="1:7" x14ac:dyDescent="0.3">
      <c r="A468" t="s">
        <v>260</v>
      </c>
      <c r="B468" t="s">
        <v>285</v>
      </c>
      <c r="C468" s="13">
        <v>7000</v>
      </c>
      <c r="D468" s="37">
        <v>10</v>
      </c>
      <c r="E468" s="13">
        <f>C468</f>
        <v>7000</v>
      </c>
      <c r="F468" s="13">
        <f>C468+D468*(F$437-E$437)</f>
        <v>7000</v>
      </c>
      <c r="G468" s="13">
        <f>F468*(1+(Inputs!$C$43*('Attributes Inputs and Outputs'!$K$8-'Defaults and Ranges'!$N$6)))</f>
        <v>7000</v>
      </c>
    </row>
    <row r="469" spans="1:7" x14ac:dyDescent="0.3">
      <c r="A469" t="s">
        <v>262</v>
      </c>
      <c r="B469" t="s">
        <v>278</v>
      </c>
      <c r="C469" s="13">
        <v>2000</v>
      </c>
      <c r="D469" s="37">
        <v>4</v>
      </c>
      <c r="E469" s="13">
        <f>C469</f>
        <v>2000</v>
      </c>
      <c r="F469" s="13">
        <f>C469+(F$437-E$437)*D469</f>
        <v>2000</v>
      </c>
      <c r="G469" s="13">
        <f>F469*(1+(Inputs!$C$43*('Attributes Inputs and Outputs'!$K$8-'Defaults and Ranges'!$N$6)))</f>
        <v>2000</v>
      </c>
    </row>
    <row r="470" spans="1:7" x14ac:dyDescent="0.3">
      <c r="A470" t="s">
        <v>141</v>
      </c>
      <c r="B470" t="s">
        <v>286</v>
      </c>
      <c r="C470" s="13">
        <f>25*10*8</f>
        <v>2000</v>
      </c>
      <c r="D470" s="37">
        <v>9</v>
      </c>
      <c r="E470" s="13">
        <f>C470</f>
        <v>2000</v>
      </c>
      <c r="F470" s="13">
        <f>C470+(F$437-E$437)*D470</f>
        <v>2000</v>
      </c>
      <c r="G470" s="13">
        <f>F470*(1+(Inputs!$C$43*('Attributes Inputs and Outputs'!$K$8-'Defaults and Ranges'!$N$6)))</f>
        <v>2000</v>
      </c>
    </row>
    <row r="471" spans="1:7" x14ac:dyDescent="0.3">
      <c r="A471" t="s">
        <v>178</v>
      </c>
      <c r="B471" t="s">
        <v>287</v>
      </c>
      <c r="C471" s="13"/>
      <c r="D471" s="37">
        <v>27</v>
      </c>
      <c r="E471" s="13">
        <f>$D471*E$437</f>
        <v>3240</v>
      </c>
      <c r="F471" s="13">
        <f>$D471*F$437</f>
        <v>3240</v>
      </c>
      <c r="G471" s="13">
        <f>F471*(1+(IF('Attributes Inputs and Outputs'!$O$8=Inputs!$C$44,Inputs!$C$45,IF('Attributes Inputs and Outputs'!$O$8=Inputs!$D$44,Inputs!$D$45,IF('Attributes Inputs and Outputs'!$O$8=Inputs!$E$44,Inputs!$E$45,IF('Attributes Inputs and Outputs'!$O$8=Inputs!$F$44,Inputs!$F$45,Inputs!$G$45))))))</f>
        <v>3240</v>
      </c>
    </row>
    <row r="472" spans="1:7" x14ac:dyDescent="0.3">
      <c r="A472" t="s">
        <v>221</v>
      </c>
      <c r="B472" t="s">
        <v>288</v>
      </c>
      <c r="C472" s="13"/>
      <c r="D472" s="37">
        <f>15+1+12</f>
        <v>28</v>
      </c>
      <c r="E472" s="13">
        <f>$D472*E$437</f>
        <v>3360</v>
      </c>
      <c r="F472" s="13">
        <f>$D472*F$437</f>
        <v>3360</v>
      </c>
      <c r="G472" s="13">
        <f>F472*(1+(IF('Attributes Inputs and Outputs'!$O$8=Inputs!$C$44,Inputs!$C$45,IF('Attributes Inputs and Outputs'!$O$8=Inputs!$D$44,Inputs!$D$45,IF('Attributes Inputs and Outputs'!$O$8=Inputs!$E$44,Inputs!$E$45,IF('Attributes Inputs and Outputs'!$O$8=Inputs!$F$44,Inputs!$F$45,Inputs!$G$45))))))</f>
        <v>3360</v>
      </c>
    </row>
    <row r="473" spans="1:7" x14ac:dyDescent="0.3">
      <c r="A473" t="s">
        <v>266</v>
      </c>
      <c r="B473" t="s">
        <v>289</v>
      </c>
      <c r="C473" s="13">
        <v>7500</v>
      </c>
      <c r="D473" s="37">
        <v>70</v>
      </c>
      <c r="E473" s="13">
        <f>C473</f>
        <v>7500</v>
      </c>
      <c r="F473" s="13">
        <f>C473+D473*(F$437-E$437)</f>
        <v>7500</v>
      </c>
      <c r="G473" s="13">
        <f>F473*(1+(Inputs!$C$43*('Attributes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7500</v>
      </c>
    </row>
    <row r="474" spans="1:7" x14ac:dyDescent="0.3">
      <c r="A474" t="s">
        <v>146</v>
      </c>
      <c r="B474" t="s">
        <v>290</v>
      </c>
      <c r="C474" s="13">
        <f>6*125+1000*2</f>
        <v>2750</v>
      </c>
      <c r="D474" s="37">
        <v>8</v>
      </c>
      <c r="E474" s="13">
        <f>C474</f>
        <v>2750</v>
      </c>
      <c r="F474" s="13">
        <f>C474+D474*(F$437-E$437)</f>
        <v>2750</v>
      </c>
      <c r="G474" s="13">
        <f>F474</f>
        <v>2750</v>
      </c>
    </row>
    <row r="475" spans="1:7" x14ac:dyDescent="0.3">
      <c r="A475" t="s">
        <v>269</v>
      </c>
      <c r="B475" t="s">
        <v>291</v>
      </c>
      <c r="C475" s="13">
        <v>12000</v>
      </c>
      <c r="D475" s="37">
        <v>80</v>
      </c>
      <c r="E475" s="13">
        <f>C475</f>
        <v>12000</v>
      </c>
      <c r="F475" s="13">
        <f>C475+D475*(F$437-E$437)</f>
        <v>12000</v>
      </c>
      <c r="G475" s="13">
        <f>F475*(1+(Inputs!$C$43*('Attributes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12000</v>
      </c>
    </row>
    <row r="476" spans="1:7" x14ac:dyDescent="0.3">
      <c r="D476" s="39" t="s">
        <v>137</v>
      </c>
      <c r="E476" s="40">
        <f>SUM(E468:E475)</f>
        <v>39850</v>
      </c>
      <c r="F476" s="40">
        <f>SUM(F468:F475)</f>
        <v>39850</v>
      </c>
      <c r="G476" s="40">
        <f>SUM(G468:G475)</f>
        <v>39850</v>
      </c>
    </row>
    <row r="479" spans="1:7" x14ac:dyDescent="0.3">
      <c r="E479" t="s">
        <v>108</v>
      </c>
      <c r="F479" t="s">
        <v>158</v>
      </c>
      <c r="G479" t="s">
        <v>159</v>
      </c>
    </row>
    <row r="480" spans="1:7" x14ac:dyDescent="0.3">
      <c r="B480" t="s">
        <v>292</v>
      </c>
      <c r="F480" s="58">
        <v>4.4999999999999998E-2</v>
      </c>
    </row>
    <row r="481" spans="1:11" x14ac:dyDescent="0.3">
      <c r="C481">
        <f>87*8</f>
        <v>696</v>
      </c>
      <c r="D481" t="s">
        <v>258</v>
      </c>
      <c r="E481" s="16">
        <f>12*12</f>
        <v>144</v>
      </c>
      <c r="F481" s="11">
        <f>E481+('Attributes Back Calcs'!$G$10-'Defaults and Ranges'!$D$7)*F480</f>
        <v>144</v>
      </c>
    </row>
    <row r="482" spans="1:11" ht="15" thickBot="1" x14ac:dyDescent="0.35">
      <c r="A482" s="7" t="s">
        <v>61</v>
      </c>
      <c r="D482" t="s">
        <v>259</v>
      </c>
      <c r="E482" s="16">
        <f>12*12</f>
        <v>144</v>
      </c>
      <c r="F482" s="11">
        <f>E482+('Attributes Back Calcs'!$G$10-'Defaults and Ranges'!$D$7)*F480</f>
        <v>144</v>
      </c>
    </row>
    <row r="483" spans="1:11" x14ac:dyDescent="0.3">
      <c r="A483" t="s">
        <v>293</v>
      </c>
      <c r="B483" t="s">
        <v>1205</v>
      </c>
      <c r="C483" s="13"/>
      <c r="D483" s="37">
        <v>4</v>
      </c>
      <c r="E483" s="13">
        <f>D483*E$481</f>
        <v>576</v>
      </c>
      <c r="F483" s="13">
        <f>D483*F$481</f>
        <v>576</v>
      </c>
      <c r="G483" s="13">
        <f>F483*(1+(IF('Attributes Inputs and Outputs'!$O$8=Inputs!$C$44,Inputs!$C$45,IF('Attributes Inputs and Outputs'!$O$8=Inputs!$D$44,Inputs!$D$45,IF('Attributes Inputs and Outputs'!$O$8=Inputs!$E$44,Inputs!$E$45,IF('Attributes Inputs and Outputs'!$O$8=Inputs!$F$44,Inputs!$F$45,Inputs!$G$45))))))</f>
        <v>576</v>
      </c>
      <c r="I483" s="70" t="s">
        <v>1009</v>
      </c>
      <c r="J483" s="71"/>
      <c r="K483" s="72"/>
    </row>
    <row r="484" spans="1:11" x14ac:dyDescent="0.3">
      <c r="A484" t="s">
        <v>232</v>
      </c>
      <c r="B484" t="s">
        <v>181</v>
      </c>
      <c r="C484" s="13">
        <v>0</v>
      </c>
      <c r="D484" s="13">
        <v>0</v>
      </c>
      <c r="E484" s="13">
        <v>0</v>
      </c>
      <c r="F484" s="13">
        <v>0</v>
      </c>
      <c r="G484" s="13">
        <v>0</v>
      </c>
      <c r="I484" s="73" t="s">
        <v>988</v>
      </c>
      <c r="J484" t="s">
        <v>992</v>
      </c>
      <c r="K484" s="74" t="s">
        <v>994</v>
      </c>
    </row>
    <row r="485" spans="1:11" x14ac:dyDescent="0.3">
      <c r="A485" t="s">
        <v>141</v>
      </c>
      <c r="B485" t="s">
        <v>1206</v>
      </c>
      <c r="C485" s="13">
        <v>0</v>
      </c>
      <c r="D485" s="13">
        <v>2</v>
      </c>
      <c r="E485" s="13">
        <f>$C485+$D485*E$481</f>
        <v>288</v>
      </c>
      <c r="F485" s="13">
        <f>$C485+$D485*F$481</f>
        <v>288</v>
      </c>
      <c r="G485" s="13">
        <f>F485*(1+(Inputs!$C$43*('Attributes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288</v>
      </c>
      <c r="I485" s="73" t="s">
        <v>61</v>
      </c>
      <c r="J485">
        <v>1</v>
      </c>
      <c r="K485" s="74">
        <v>1</v>
      </c>
    </row>
    <row r="486" spans="1:11" x14ac:dyDescent="0.3">
      <c r="A486" t="s">
        <v>178</v>
      </c>
      <c r="B486" t="s">
        <v>1207</v>
      </c>
      <c r="C486" s="13">
        <v>0</v>
      </c>
      <c r="D486" s="13">
        <v>2</v>
      </c>
      <c r="E486" s="13">
        <f>$C486+$D486*E$481</f>
        <v>288</v>
      </c>
      <c r="F486" s="13">
        <f>$C486+$D486*F$481</f>
        <v>288</v>
      </c>
      <c r="G486" s="13">
        <f>F486*(1+(Inputs!$C$43*('Attributes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288</v>
      </c>
      <c r="I486" s="73" t="s">
        <v>63</v>
      </c>
      <c r="J486">
        <v>12</v>
      </c>
      <c r="K486" s="82">
        <f>J486+(IF('Attributes Calculations'!$E$16&gt;2500,'Attributes Calculations'!$E$16 /700, 0))</f>
        <v>12</v>
      </c>
    </row>
    <row r="487" spans="1:11" x14ac:dyDescent="0.3">
      <c r="A487" t="s">
        <v>221</v>
      </c>
      <c r="B487" t="s">
        <v>1354</v>
      </c>
      <c r="C487" s="13"/>
      <c r="D487" s="37">
        <f>Inputs!C70</f>
        <v>2.8</v>
      </c>
      <c r="E487" s="13">
        <f>$D487*E$481</f>
        <v>403.2</v>
      </c>
      <c r="F487" s="13">
        <f>$D487*F$481</f>
        <v>403.2</v>
      </c>
      <c r="G487" s="13">
        <f>F487</f>
        <v>403.2</v>
      </c>
      <c r="I487" s="73" t="s">
        <v>64</v>
      </c>
      <c r="J487">
        <v>14</v>
      </c>
      <c r="K487" s="82">
        <f>J487+(IF('Attributes Calculations'!$E$16&gt;2500,'Attributes Calculations'!$E$16 /600, 0))</f>
        <v>14</v>
      </c>
    </row>
    <row r="488" spans="1:11" x14ac:dyDescent="0.3">
      <c r="A488" t="s">
        <v>294</v>
      </c>
      <c r="B488" t="s">
        <v>295</v>
      </c>
      <c r="C488" s="13">
        <f>5*250+100+400</f>
        <v>1750</v>
      </c>
      <c r="D488" s="37">
        <v>1</v>
      </c>
      <c r="E488" s="13">
        <f>C488</f>
        <v>1750</v>
      </c>
      <c r="F488" s="13">
        <f>E488+(F$481-E$481)*D488</f>
        <v>1750</v>
      </c>
      <c r="G488" s="13">
        <f>F488</f>
        <v>1750</v>
      </c>
      <c r="I488" s="73" t="s">
        <v>62</v>
      </c>
      <c r="J488">
        <v>7</v>
      </c>
      <c r="K488" s="82">
        <f>J488+(IF('Attributes Calculations'!$E$16&gt;2500,'Attributes Calculations'!$E$16 /1200, 0))</f>
        <v>7</v>
      </c>
    </row>
    <row r="489" spans="1:11" x14ac:dyDescent="0.3">
      <c r="A489" t="s">
        <v>146</v>
      </c>
      <c r="B489" t="s">
        <v>1214</v>
      </c>
      <c r="C489" s="13">
        <v>600</v>
      </c>
      <c r="D489" s="37">
        <v>2</v>
      </c>
      <c r="E489" s="13">
        <f>C489</f>
        <v>600</v>
      </c>
      <c r="F489" s="13">
        <f>$C489+$D489*F$481</f>
        <v>888</v>
      </c>
      <c r="G489" s="13">
        <f>F489</f>
        <v>888</v>
      </c>
      <c r="I489" s="73"/>
      <c r="K489" s="74"/>
    </row>
    <row r="490" spans="1:11" ht="15" thickBot="1" x14ac:dyDescent="0.35">
      <c r="D490" s="39" t="s">
        <v>127</v>
      </c>
      <c r="E490" s="40">
        <f>SUM(E483:E489)</f>
        <v>3905.2</v>
      </c>
      <c r="F490" s="40">
        <f>SUM(F483:F489)</f>
        <v>4193.2</v>
      </c>
      <c r="G490" s="40">
        <f>SUM(G483:G489)</f>
        <v>4193.2</v>
      </c>
      <c r="I490" s="75"/>
      <c r="J490" s="76" t="s">
        <v>990</v>
      </c>
      <c r="K490" s="83">
        <f xml:space="preserve"> IF('Attributes Inputs and Outputs'!H14='Defaults and Ranges'!K30, LOOKUP('Packages Inputs and Outputs'!E37, I485:I488, K485:K488), 0)</f>
        <v>0</v>
      </c>
    </row>
    <row r="491" spans="1:11" x14ac:dyDescent="0.3">
      <c r="A491" s="7" t="s">
        <v>62</v>
      </c>
      <c r="C491" s="13"/>
      <c r="D491" s="13"/>
      <c r="E491" s="13"/>
      <c r="F491" s="13"/>
    </row>
    <row r="492" spans="1:11" x14ac:dyDescent="0.3">
      <c r="A492" t="s">
        <v>293</v>
      </c>
      <c r="B492" t="s">
        <v>1205</v>
      </c>
      <c r="C492" s="13"/>
      <c r="D492" s="37">
        <v>4</v>
      </c>
      <c r="E492" s="13">
        <f>D492*E$481</f>
        <v>576</v>
      </c>
      <c r="F492" s="13">
        <f>D492*F$481</f>
        <v>576</v>
      </c>
      <c r="G492" s="13">
        <f>F492*(1+(IF('Attributes Inputs and Outputs'!$O$8=Inputs!$C$44,Inputs!$C$45,IF('Attributes Inputs and Outputs'!$O$8=Inputs!$D$44,Inputs!$D$45,IF('Attributes Inputs and Outputs'!$O$8=Inputs!$E$44,Inputs!$E$45,IF('Attributes Inputs and Outputs'!$O$8=Inputs!$F$44,Inputs!$F$45,Inputs!$G$45))))))</f>
        <v>576</v>
      </c>
    </row>
    <row r="493" spans="1:11" x14ac:dyDescent="0.3">
      <c r="A493" t="s">
        <v>232</v>
      </c>
      <c r="B493" t="s">
        <v>187</v>
      </c>
      <c r="C493" s="13">
        <v>0</v>
      </c>
      <c r="D493" s="13">
        <v>0</v>
      </c>
      <c r="E493" s="13">
        <f>D493*E$481</f>
        <v>0</v>
      </c>
      <c r="F493" s="13">
        <f>D493*F$481</f>
        <v>0</v>
      </c>
      <c r="G493" s="13">
        <f>F493*(1+(Inputs!$C$43*('Attributes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494" spans="1:11" x14ac:dyDescent="0.3">
      <c r="A494" t="s">
        <v>141</v>
      </c>
      <c r="B494" t="s">
        <v>1210</v>
      </c>
      <c r="C494" s="13">
        <f>200+50*5+500+60*8</f>
        <v>1430</v>
      </c>
      <c r="D494" s="37">
        <f>5+15</f>
        <v>20</v>
      </c>
      <c r="E494" s="13">
        <f>$C494+$D494*E$481</f>
        <v>4310</v>
      </c>
      <c r="F494" s="13">
        <f>$C494+$D494*F$481</f>
        <v>4310</v>
      </c>
      <c r="G494" s="13">
        <f>F494*(1+(Inputs!$C$43*('Attributes Inputs and Outputs'!$K$8-'Defaults and Ranges'!$N$6)))*(1+(IF('Attributes Inputs and Outputs'!$O$8=Inputs!$C$44,Inputs!$C$45,IF('Attributes Inputs and Outputs'!$O$8=Inputs!$D$44,Inputs!$D$45,IF('Attributes Inputs and Outputs'!$O$8=Inputs!$E$44,Inputs!$E$45,IF('Attributes Inputs and Outputs'!$O$8=Inputs!$F$44,Inputs!$F$45,Inputs!$G$45))))))</f>
        <v>4310</v>
      </c>
    </row>
    <row r="495" spans="1:11" x14ac:dyDescent="0.3">
      <c r="A495" t="s">
        <v>178</v>
      </c>
      <c r="B495" t="s">
        <v>1208</v>
      </c>
      <c r="C495" s="13">
        <v>0</v>
      </c>
      <c r="D495" s="37">
        <v>2</v>
      </c>
      <c r="E495" s="13">
        <f>$C495+$D495*E$481</f>
        <v>288</v>
      </c>
      <c r="F495" s="13">
        <f>$C495+$D495*F$481</f>
        <v>288</v>
      </c>
      <c r="G495" s="13">
        <f>F495*(1+(Inputs!$C$43*('Attributes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288</v>
      </c>
    </row>
    <row r="496" spans="1:11" x14ac:dyDescent="0.3">
      <c r="A496" t="s">
        <v>221</v>
      </c>
      <c r="B496" t="s">
        <v>296</v>
      </c>
      <c r="C496" s="13"/>
      <c r="D496" s="13">
        <v>4</v>
      </c>
      <c r="E496" s="13">
        <f>$D496*E$481</f>
        <v>576</v>
      </c>
      <c r="F496" s="13">
        <f>$D496*F$481</f>
        <v>576</v>
      </c>
      <c r="G496" s="13">
        <f>F496</f>
        <v>576</v>
      </c>
    </row>
    <row r="497" spans="1:7" x14ac:dyDescent="0.3">
      <c r="A497" t="s">
        <v>294</v>
      </c>
      <c r="B497" t="s">
        <v>297</v>
      </c>
      <c r="C497" s="13">
        <f>300*5+600+600+2000+800+100+300+750</f>
        <v>6650</v>
      </c>
      <c r="D497" s="37">
        <v>3</v>
      </c>
      <c r="E497" s="13">
        <f>C497</f>
        <v>6650</v>
      </c>
      <c r="F497" s="13">
        <f>E497+(F$481-E$481)*D497</f>
        <v>6650</v>
      </c>
      <c r="G497" s="13">
        <f>F497</f>
        <v>6650</v>
      </c>
    </row>
    <row r="498" spans="1:7" x14ac:dyDescent="0.3">
      <c r="A498" t="s">
        <v>146</v>
      </c>
      <c r="B498" t="s">
        <v>1211</v>
      </c>
      <c r="C498" s="13">
        <f>6*125+6*125</f>
        <v>1500</v>
      </c>
      <c r="D498" s="37">
        <v>3</v>
      </c>
      <c r="E498" s="13">
        <f>C498</f>
        <v>1500</v>
      </c>
      <c r="F498" s="13">
        <f>C498+D498*F481</f>
        <v>1932</v>
      </c>
      <c r="G498" s="13">
        <f>F498</f>
        <v>1932</v>
      </c>
    </row>
    <row r="499" spans="1:7" x14ac:dyDescent="0.3">
      <c r="D499" s="39" t="s">
        <v>130</v>
      </c>
      <c r="E499" s="40">
        <f>SUM(E492:E498)</f>
        <v>13900</v>
      </c>
      <c r="F499" s="40">
        <f>SUM(F492:F498)</f>
        <v>14332</v>
      </c>
      <c r="G499" s="40">
        <f>SUM(G492:G498)</f>
        <v>14332</v>
      </c>
    </row>
    <row r="500" spans="1:7" x14ac:dyDescent="0.3">
      <c r="A500" s="7" t="s">
        <v>63</v>
      </c>
      <c r="F500" s="13"/>
    </row>
    <row r="501" spans="1:7" x14ac:dyDescent="0.3">
      <c r="A501" t="s">
        <v>293</v>
      </c>
      <c r="B501" t="s">
        <v>1205</v>
      </c>
      <c r="C501" s="13"/>
      <c r="D501" s="37">
        <v>4</v>
      </c>
      <c r="E501" s="13">
        <f>D501*E$481</f>
        <v>576</v>
      </c>
      <c r="F501" s="13">
        <f>D501*F$481</f>
        <v>576</v>
      </c>
      <c r="G501" s="13">
        <f>F501*(1+(IF('Attributes Inputs and Outputs'!$O$8=Inputs!$C$44,Inputs!$C$45,IF('Attributes Inputs and Outputs'!$O$8=Inputs!$D$44,Inputs!$D$45,IF('Attributes Inputs and Outputs'!$O$8=Inputs!$E$44,Inputs!$E$45,IF('Attributes Inputs and Outputs'!$O$8=Inputs!$F$44,Inputs!$F$45,Inputs!$G$45))))))</f>
        <v>576</v>
      </c>
    </row>
    <row r="502" spans="1:7" x14ac:dyDescent="0.3">
      <c r="A502" t="s">
        <v>232</v>
      </c>
      <c r="B502" t="s">
        <v>1209</v>
      </c>
      <c r="C502" s="13">
        <f>700+800+1000+150+50+100</f>
        <v>2800</v>
      </c>
      <c r="D502" s="13">
        <v>15</v>
      </c>
      <c r="E502" s="13">
        <f>C502</f>
        <v>2800</v>
      </c>
      <c r="F502" s="13">
        <f>E502+D502*(F$482-E$482)</f>
        <v>2800</v>
      </c>
      <c r="G502" s="13">
        <f>F502*(1+(Inputs!$C$43*('Attributes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2800</v>
      </c>
    </row>
    <row r="503" spans="1:7" x14ac:dyDescent="0.3">
      <c r="A503" t="s">
        <v>141</v>
      </c>
      <c r="B503" t="s">
        <v>1212</v>
      </c>
      <c r="C503" s="13">
        <f>200+50*5+1000</f>
        <v>1450</v>
      </c>
      <c r="D503" s="37">
        <f>3+25</f>
        <v>28</v>
      </c>
      <c r="E503" s="13">
        <f>$C503+$D503*E$481</f>
        <v>5482</v>
      </c>
      <c r="F503" s="13">
        <f>$C503+$D503*F$481</f>
        <v>5482</v>
      </c>
      <c r="G503" s="13">
        <f>F503*(1+(Inputs!$C$43*('Attributes Inputs and Outputs'!$K$8-'Defaults and Ranges'!$N$6)))*(1+(IF('Attributes Inputs and Outputs'!$O$8=Inputs!$C$44,Inputs!$C$45,IF('Attributes Inputs and Outputs'!$O$8=Inputs!$D$44,Inputs!$D$45,IF('Attributes Inputs and Outputs'!$O$8=Inputs!$E$44,Inputs!$E$45,IF('Attributes Inputs and Outputs'!$O$8=Inputs!$F$44,Inputs!$F$45,Inputs!$G$45))))))</f>
        <v>5482</v>
      </c>
    </row>
    <row r="504" spans="1:7" x14ac:dyDescent="0.3">
      <c r="A504" t="s">
        <v>178</v>
      </c>
      <c r="B504" t="s">
        <v>299</v>
      </c>
      <c r="C504" s="13">
        <v>0</v>
      </c>
      <c r="D504" s="37">
        <f>1.5+1.5</f>
        <v>3</v>
      </c>
      <c r="E504" s="13">
        <f>$D504*E$481</f>
        <v>432</v>
      </c>
      <c r="F504" s="13">
        <f>$D504*F$481</f>
        <v>432</v>
      </c>
      <c r="G504" s="13">
        <f>F504*(1+(IF('Attributes Inputs and Outputs'!$O$8=Inputs!$C$44,Inputs!$C$45,IF('Attributes Inputs and Outputs'!$O$8=Inputs!$D$44,Inputs!$D$45,IF('Attributes Inputs and Outputs'!$O$8=Inputs!$E$44,Inputs!$E$45,IF('Attributes Inputs and Outputs'!$O$8=Inputs!$F$44,Inputs!$F$45,Inputs!$G$45))))))</f>
        <v>432</v>
      </c>
    </row>
    <row r="505" spans="1:7" x14ac:dyDescent="0.3">
      <c r="A505" t="s">
        <v>221</v>
      </c>
      <c r="B505" t="s">
        <v>296</v>
      </c>
      <c r="C505" s="13"/>
      <c r="D505" s="13">
        <v>4</v>
      </c>
      <c r="E505" s="13">
        <f>$D505*E$481</f>
        <v>576</v>
      </c>
      <c r="F505" s="13">
        <f>$D505*F$481</f>
        <v>576</v>
      </c>
      <c r="G505" s="13">
        <f>F505</f>
        <v>576</v>
      </c>
    </row>
    <row r="506" spans="1:7" x14ac:dyDescent="0.3">
      <c r="A506" t="s">
        <v>294</v>
      </c>
      <c r="B506" t="s">
        <v>300</v>
      </c>
      <c r="C506" s="13">
        <f>1000*7+1500*2+1000+4000+1200+100+700+1250</f>
        <v>18250</v>
      </c>
      <c r="D506" s="37">
        <v>3</v>
      </c>
      <c r="E506" s="13">
        <f>C506</f>
        <v>18250</v>
      </c>
      <c r="F506" s="13">
        <f>E506+(F$481-E$481)*D506</f>
        <v>18250</v>
      </c>
      <c r="G506" s="13">
        <f>F506</f>
        <v>18250</v>
      </c>
    </row>
    <row r="507" spans="1:7" x14ac:dyDescent="0.3">
      <c r="A507" t="s">
        <v>146</v>
      </c>
      <c r="B507" t="s">
        <v>301</v>
      </c>
      <c r="C507" s="13">
        <f>6*125+4*125+400</f>
        <v>1650</v>
      </c>
      <c r="D507" s="37">
        <v>4</v>
      </c>
      <c r="E507" s="13">
        <f>C507</f>
        <v>1650</v>
      </c>
      <c r="F507" s="13">
        <f>C507+D507*F482</f>
        <v>2226</v>
      </c>
      <c r="G507" s="13">
        <f>F507</f>
        <v>2226</v>
      </c>
    </row>
    <row r="508" spans="1:7" x14ac:dyDescent="0.3">
      <c r="D508" s="39" t="s">
        <v>133</v>
      </c>
      <c r="E508" s="40">
        <f>SUM(E501:E507)</f>
        <v>29766</v>
      </c>
      <c r="F508" s="40">
        <f>SUM(F501:F507)</f>
        <v>30342</v>
      </c>
      <c r="G508" s="40">
        <f>SUM(G501:G507)</f>
        <v>30342</v>
      </c>
    </row>
    <row r="509" spans="1:7" x14ac:dyDescent="0.3">
      <c r="A509" s="7" t="s">
        <v>64</v>
      </c>
      <c r="B509" s="13"/>
      <c r="F509" s="13"/>
      <c r="G509" t="s">
        <v>194</v>
      </c>
    </row>
    <row r="510" spans="1:7" x14ac:dyDescent="0.3">
      <c r="A510" t="s">
        <v>293</v>
      </c>
      <c r="B510" t="s">
        <v>1213</v>
      </c>
      <c r="C510" s="13">
        <v>10000</v>
      </c>
      <c r="D510" s="13">
        <v>75</v>
      </c>
      <c r="E510" s="13">
        <f>C510</f>
        <v>10000</v>
      </c>
      <c r="F510" s="13">
        <f>E510+D510*(F$482-E$482)</f>
        <v>10000</v>
      </c>
      <c r="G510" s="13">
        <f>F510</f>
        <v>10000</v>
      </c>
    </row>
    <row r="511" spans="1:7" x14ac:dyDescent="0.3">
      <c r="A511" t="s">
        <v>232</v>
      </c>
      <c r="B511" t="s">
        <v>298</v>
      </c>
      <c r="C511" s="13">
        <f>700+800+1000+150+50+100</f>
        <v>2800</v>
      </c>
      <c r="D511" s="13">
        <v>15</v>
      </c>
      <c r="E511" s="13">
        <f>C511</f>
        <v>2800</v>
      </c>
      <c r="F511" s="13">
        <f>E511+D511*(F$482-E$482)</f>
        <v>2800</v>
      </c>
      <c r="G511" s="13">
        <f>F511*(1+(Inputs!$C$43*('Attributes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2800</v>
      </c>
    </row>
    <row r="512" spans="1:7" x14ac:dyDescent="0.3">
      <c r="A512" t="s">
        <v>141</v>
      </c>
      <c r="B512" t="s">
        <v>302</v>
      </c>
      <c r="C512" s="13"/>
      <c r="D512" s="37">
        <v>50</v>
      </c>
      <c r="E512" s="13">
        <f>$C512+$D512*E$481</f>
        <v>7200</v>
      </c>
      <c r="F512" s="13">
        <f>$C512+$D512*F$481</f>
        <v>7200</v>
      </c>
      <c r="G512" s="13">
        <f>F512*(1+(Inputs!$C$43*('Attributes Inputs and Outputs'!$K$8-'Defaults and Ranges'!$N$6)))*(1+(IF('Attributes Inputs and Outputs'!$O$8=Inputs!$C$44,Inputs!$C$45,IF('Attributes Inputs and Outputs'!$O$8=Inputs!$D$44,Inputs!$D$45,IF('Attributes Inputs and Outputs'!$O$8=Inputs!$E$44,Inputs!$E$45,IF('Attributes Inputs and Outputs'!$O$8=Inputs!$F$44,Inputs!$F$45,Inputs!$G$45))))))</f>
        <v>7200</v>
      </c>
    </row>
    <row r="513" spans="1:11" x14ac:dyDescent="0.3">
      <c r="A513" t="s">
        <v>178</v>
      </c>
      <c r="B513" t="s">
        <v>303</v>
      </c>
      <c r="C513" s="13"/>
      <c r="D513" s="37">
        <f>16+2+3</f>
        <v>21</v>
      </c>
      <c r="E513" s="13">
        <f>$D513*E482</f>
        <v>3024</v>
      </c>
      <c r="F513" s="13">
        <f>$D513*F482</f>
        <v>3024</v>
      </c>
      <c r="G513" s="13">
        <f>F513</f>
        <v>3024</v>
      </c>
    </row>
    <row r="514" spans="1:11" x14ac:dyDescent="0.3">
      <c r="A514" t="s">
        <v>221</v>
      </c>
      <c r="B514" t="s">
        <v>304</v>
      </c>
      <c r="C514" s="13"/>
      <c r="D514" s="13">
        <v>10</v>
      </c>
      <c r="E514" s="13">
        <f>$D514*E$481</f>
        <v>1440</v>
      </c>
      <c r="F514" s="13">
        <f>$D514*F$481</f>
        <v>1440</v>
      </c>
      <c r="G514" s="13">
        <f>F514</f>
        <v>1440</v>
      </c>
    </row>
    <row r="515" spans="1:11" x14ac:dyDescent="0.3">
      <c r="A515" t="s">
        <v>294</v>
      </c>
      <c r="B515" t="s">
        <v>305</v>
      </c>
      <c r="C515" s="13">
        <f>2000*7+3000*2+1500+2000+8000+2000+100+1500+1500</f>
        <v>36600</v>
      </c>
      <c r="D515" s="37">
        <v>3</v>
      </c>
      <c r="E515" s="13">
        <f>C515</f>
        <v>36600</v>
      </c>
      <c r="F515" s="13">
        <f>E515+(F$481-E$481)*D515</f>
        <v>36600</v>
      </c>
      <c r="G515" s="13">
        <f>F515</f>
        <v>36600</v>
      </c>
    </row>
    <row r="516" spans="1:11" x14ac:dyDescent="0.3">
      <c r="A516" t="s">
        <v>146</v>
      </c>
      <c r="B516" t="s">
        <v>306</v>
      </c>
      <c r="C516" s="13">
        <f>6*125+6*250+1000</f>
        <v>3250</v>
      </c>
      <c r="D516" s="37">
        <v>10</v>
      </c>
      <c r="E516" s="13">
        <f>C516</f>
        <v>3250</v>
      </c>
      <c r="F516" s="13">
        <f>C516+D516*F482</f>
        <v>4690</v>
      </c>
      <c r="G516" s="13">
        <f>F516</f>
        <v>4690</v>
      </c>
    </row>
    <row r="517" spans="1:11" x14ac:dyDescent="0.3">
      <c r="D517" s="39" t="s">
        <v>137</v>
      </c>
      <c r="E517" s="40">
        <f>SUM(E510:E516)</f>
        <v>64314</v>
      </c>
      <c r="F517" s="40">
        <f>SUM(F510:F516)</f>
        <v>65754</v>
      </c>
      <c r="G517" s="40">
        <f>SUM(G510:G516)</f>
        <v>65754</v>
      </c>
    </row>
    <row r="520" spans="1:11" x14ac:dyDescent="0.3">
      <c r="E520" t="s">
        <v>108</v>
      </c>
      <c r="F520" t="s">
        <v>158</v>
      </c>
      <c r="G520" t="s">
        <v>159</v>
      </c>
    </row>
    <row r="521" spans="1:11" x14ac:dyDescent="0.3">
      <c r="B521" t="s">
        <v>86</v>
      </c>
      <c r="F521" s="34"/>
    </row>
    <row r="522" spans="1:11" ht="15" thickBot="1" x14ac:dyDescent="0.35">
      <c r="A522" s="7" t="s">
        <v>61</v>
      </c>
      <c r="D522" t="s">
        <v>139</v>
      </c>
      <c r="E522" s="16">
        <f>'Attributes Back Calcs'!G9</f>
        <v>500</v>
      </c>
      <c r="F522" s="11">
        <f>E522</f>
        <v>500</v>
      </c>
    </row>
    <row r="523" spans="1:11" x14ac:dyDescent="0.3">
      <c r="A523" t="s">
        <v>203</v>
      </c>
      <c r="B523" t="s">
        <v>307</v>
      </c>
      <c r="C523" s="13"/>
      <c r="D523" s="37"/>
      <c r="E523" s="13">
        <v>0</v>
      </c>
      <c r="F523" s="13">
        <v>0</v>
      </c>
      <c r="G523" s="13">
        <v>0</v>
      </c>
      <c r="I523" s="70" t="s">
        <v>1010</v>
      </c>
      <c r="J523" s="71"/>
      <c r="K523" s="72"/>
    </row>
    <row r="524" spans="1:11" x14ac:dyDescent="0.3">
      <c r="A524" t="s">
        <v>308</v>
      </c>
      <c r="B524" t="s">
        <v>1220</v>
      </c>
      <c r="C524" s="13">
        <f>'Attributes Back Calcs'!$P$107</f>
        <v>550</v>
      </c>
      <c r="D524" s="37"/>
      <c r="E524" s="13">
        <v>0</v>
      </c>
      <c r="F524" s="13">
        <f>C524</f>
        <v>550</v>
      </c>
      <c r="G524" s="13">
        <f>F524</f>
        <v>550</v>
      </c>
      <c r="I524" s="73" t="s">
        <v>988</v>
      </c>
      <c r="J524" t="s">
        <v>992</v>
      </c>
      <c r="K524" s="74" t="s">
        <v>994</v>
      </c>
    </row>
    <row r="525" spans="1:11" x14ac:dyDescent="0.3">
      <c r="A525" t="s">
        <v>309</v>
      </c>
      <c r="B525" t="s">
        <v>310</v>
      </c>
      <c r="C525" s="13">
        <f>'Attributes Calculations'!T24</f>
        <v>2000</v>
      </c>
      <c r="E525" s="13">
        <v>0</v>
      </c>
      <c r="F525" s="13">
        <f>C525</f>
        <v>2000</v>
      </c>
      <c r="G525" s="13">
        <f>F525</f>
        <v>2000</v>
      </c>
      <c r="I525" s="73" t="s">
        <v>61</v>
      </c>
      <c r="J525">
        <v>1</v>
      </c>
      <c r="K525" s="74">
        <f>J525</f>
        <v>1</v>
      </c>
    </row>
    <row r="526" spans="1:11" x14ac:dyDescent="0.3">
      <c r="A526" t="s">
        <v>311</v>
      </c>
      <c r="B526" s="46" t="s">
        <v>187</v>
      </c>
      <c r="C526" s="13"/>
      <c r="D526" s="14"/>
      <c r="E526" s="13">
        <v>0</v>
      </c>
      <c r="F526" s="13">
        <v>0</v>
      </c>
      <c r="G526" s="13">
        <v>0</v>
      </c>
      <c r="I526" s="73" t="s">
        <v>63</v>
      </c>
      <c r="J526">
        <f>IF('Attributes Inputs and Outputs'!I8&gt;2, 'Attributes Inputs and Outputs'!I8, 2)</f>
        <v>2</v>
      </c>
      <c r="K526" s="74">
        <f>J526</f>
        <v>2</v>
      </c>
    </row>
    <row r="527" spans="1:11" x14ac:dyDescent="0.3">
      <c r="A527" t="s">
        <v>312</v>
      </c>
      <c r="B527" t="s">
        <v>187</v>
      </c>
      <c r="C527" s="13"/>
      <c r="D527" s="13"/>
      <c r="E527" s="13">
        <v>0</v>
      </c>
      <c r="F527" s="13">
        <v>0</v>
      </c>
      <c r="G527" s="13">
        <v>0</v>
      </c>
      <c r="I527" s="73" t="s">
        <v>64</v>
      </c>
      <c r="J527">
        <f>IF('Attributes Inputs and Outputs'!I8&gt;2, 'Attributes Inputs and Outputs'!I8*2, 4)</f>
        <v>4</v>
      </c>
      <c r="K527" s="74">
        <f>J527</f>
        <v>4</v>
      </c>
    </row>
    <row r="528" spans="1:11" x14ac:dyDescent="0.3">
      <c r="A528" t="s">
        <v>313</v>
      </c>
      <c r="B528" t="s">
        <v>187</v>
      </c>
      <c r="C528" s="13"/>
      <c r="D528" s="37"/>
      <c r="E528" s="13">
        <v>0</v>
      </c>
      <c r="F528" s="13">
        <v>0</v>
      </c>
      <c r="G528" s="13">
        <v>0</v>
      </c>
      <c r="I528" s="73" t="s">
        <v>62</v>
      </c>
      <c r="J528">
        <v>2</v>
      </c>
      <c r="K528" s="74">
        <f>J528</f>
        <v>2</v>
      </c>
    </row>
    <row r="529" spans="1:11" x14ac:dyDescent="0.3">
      <c r="A529" t="s">
        <v>314</v>
      </c>
      <c r="B529" t="s">
        <v>187</v>
      </c>
      <c r="C529" s="13"/>
      <c r="D529" s="37"/>
      <c r="E529" s="13">
        <v>0</v>
      </c>
      <c r="F529" s="13">
        <v>0</v>
      </c>
      <c r="G529" s="13">
        <v>0</v>
      </c>
      <c r="I529" s="73"/>
      <c r="K529" s="74"/>
    </row>
    <row r="530" spans="1:11" ht="15" thickBot="1" x14ac:dyDescent="0.35">
      <c r="A530" t="s">
        <v>315</v>
      </c>
      <c r="C530" s="13"/>
      <c r="D530" s="37"/>
      <c r="E530" s="13">
        <v>0</v>
      </c>
      <c r="F530" s="13">
        <v>0</v>
      </c>
      <c r="G530" s="13">
        <v>0</v>
      </c>
      <c r="I530" s="75"/>
      <c r="J530" s="76" t="s">
        <v>990</v>
      </c>
      <c r="K530" s="83">
        <f xml:space="preserve"> IF('Attributes Inputs and Outputs'!I8&gt;0, LOOKUP('Packages Inputs and Outputs'!E28, I525:I528, K525:K528), 0)</f>
        <v>2</v>
      </c>
    </row>
    <row r="531" spans="1:11" x14ac:dyDescent="0.3">
      <c r="A531" t="s">
        <v>146</v>
      </c>
      <c r="B531" t="s">
        <v>1011</v>
      </c>
      <c r="C531" s="13">
        <v>100</v>
      </c>
      <c r="D531" s="37"/>
      <c r="E531" s="13">
        <v>0</v>
      </c>
      <c r="F531" s="13">
        <f>C531</f>
        <v>100</v>
      </c>
      <c r="G531" s="13">
        <f>F531</f>
        <v>100</v>
      </c>
    </row>
    <row r="532" spans="1:11" x14ac:dyDescent="0.3">
      <c r="D532" s="39" t="s">
        <v>127</v>
      </c>
      <c r="E532" s="40">
        <f>SUM(E523:E530)</f>
        <v>0</v>
      </c>
      <c r="F532" s="40">
        <f>SUM(F523:F530)</f>
        <v>2550</v>
      </c>
      <c r="G532" s="40">
        <f>SUM(G523:G531)</f>
        <v>2650</v>
      </c>
    </row>
    <row r="533" spans="1:11" x14ac:dyDescent="0.3">
      <c r="A533" s="7" t="s">
        <v>62</v>
      </c>
      <c r="C533" s="13"/>
      <c r="D533" s="13"/>
      <c r="E533" s="13"/>
      <c r="F533" s="13"/>
    </row>
    <row r="534" spans="1:11" x14ac:dyDescent="0.3">
      <c r="A534" t="s">
        <v>203</v>
      </c>
      <c r="B534" t="s">
        <v>307</v>
      </c>
      <c r="C534" s="13"/>
      <c r="D534" s="37"/>
      <c r="E534" s="13"/>
      <c r="F534" s="13"/>
      <c r="G534" s="13"/>
    </row>
    <row r="535" spans="1:11" x14ac:dyDescent="0.3">
      <c r="A535" t="s">
        <v>308</v>
      </c>
      <c r="B535" t="s">
        <v>316</v>
      </c>
      <c r="C535" s="13">
        <f>'Attributes Back Calcs'!$P$107</f>
        <v>550</v>
      </c>
      <c r="E535" s="13"/>
      <c r="F535" s="13">
        <f>C535</f>
        <v>550</v>
      </c>
      <c r="G535" s="13">
        <f>F535</f>
        <v>550</v>
      </c>
    </row>
    <row r="536" spans="1:11" x14ac:dyDescent="0.3">
      <c r="A536" t="s">
        <v>309</v>
      </c>
      <c r="B536" t="s">
        <v>317</v>
      </c>
      <c r="C536" s="13">
        <f>2200*'Attributes Inputs and Outputs'!$I$8</f>
        <v>4400</v>
      </c>
      <c r="E536" s="13"/>
      <c r="F536" s="51">
        <f>C536</f>
        <v>4400</v>
      </c>
      <c r="G536" s="51">
        <f>F536</f>
        <v>4400</v>
      </c>
    </row>
    <row r="537" spans="1:11" x14ac:dyDescent="0.3">
      <c r="A537" t="s">
        <v>311</v>
      </c>
      <c r="B537" t="s">
        <v>187</v>
      </c>
      <c r="C537" s="13"/>
      <c r="D537" s="37"/>
      <c r="E537" s="13"/>
      <c r="F537" s="13"/>
      <c r="G537" s="13"/>
    </row>
    <row r="538" spans="1:11" x14ac:dyDescent="0.3">
      <c r="A538" t="s">
        <v>312</v>
      </c>
      <c r="B538" t="s">
        <v>187</v>
      </c>
      <c r="C538" s="13"/>
      <c r="D538" s="13"/>
      <c r="E538" s="13"/>
      <c r="F538" s="13"/>
      <c r="G538" s="13"/>
    </row>
    <row r="539" spans="1:11" x14ac:dyDescent="0.3">
      <c r="A539" t="s">
        <v>313</v>
      </c>
      <c r="B539" t="s">
        <v>187</v>
      </c>
      <c r="C539" s="13"/>
      <c r="D539" s="37"/>
      <c r="E539" s="13"/>
      <c r="F539" s="13"/>
      <c r="G539" s="13"/>
    </row>
    <row r="540" spans="1:11" x14ac:dyDescent="0.3">
      <c r="A540" t="s">
        <v>314</v>
      </c>
      <c r="B540" t="s">
        <v>187</v>
      </c>
      <c r="C540" s="13"/>
      <c r="D540" s="37"/>
      <c r="E540" s="13"/>
      <c r="F540" s="13"/>
      <c r="G540" s="13"/>
    </row>
    <row r="541" spans="1:11" x14ac:dyDescent="0.3">
      <c r="A541" t="s">
        <v>315</v>
      </c>
      <c r="B541" t="s">
        <v>187</v>
      </c>
      <c r="C541" s="13"/>
      <c r="D541" s="37"/>
      <c r="E541" s="13"/>
      <c r="F541" s="13"/>
      <c r="G541" s="13"/>
    </row>
    <row r="542" spans="1:11" x14ac:dyDescent="0.3">
      <c r="A542" t="s">
        <v>146</v>
      </c>
      <c r="B542" t="s">
        <v>1012</v>
      </c>
      <c r="C542" s="13">
        <v>200</v>
      </c>
      <c r="D542" s="37"/>
      <c r="E542" s="13"/>
      <c r="F542" s="13">
        <f>C542</f>
        <v>200</v>
      </c>
      <c r="G542" s="13">
        <f>F542</f>
        <v>200</v>
      </c>
    </row>
    <row r="543" spans="1:11" x14ac:dyDescent="0.3">
      <c r="D543" s="39" t="s">
        <v>130</v>
      </c>
      <c r="E543" s="40">
        <f>SUM(E534:E541)</f>
        <v>0</v>
      </c>
      <c r="F543" s="40">
        <f>SUM(F534:F541)</f>
        <v>4950</v>
      </c>
      <c r="G543" s="40">
        <f>SUM(G534:G542)</f>
        <v>5150</v>
      </c>
      <c r="I543" s="13">
        <f>G543-G532</f>
        <v>2500</v>
      </c>
      <c r="J543" s="14">
        <f>I543*1.15</f>
        <v>2875</v>
      </c>
    </row>
    <row r="544" spans="1:11" x14ac:dyDescent="0.3">
      <c r="A544" s="7" t="s">
        <v>63</v>
      </c>
      <c r="F544" s="13"/>
    </row>
    <row r="545" spans="1:7" x14ac:dyDescent="0.3">
      <c r="A545" t="s">
        <v>203</v>
      </c>
      <c r="B545" t="s">
        <v>318</v>
      </c>
      <c r="C545" s="13"/>
      <c r="D545" s="37">
        <f>0.5+0.5+0.65</f>
        <v>1.65</v>
      </c>
      <c r="E545" s="13"/>
      <c r="F545" s="13">
        <f>$D545*F522</f>
        <v>825</v>
      </c>
      <c r="G545" s="13">
        <f>F545</f>
        <v>825</v>
      </c>
    </row>
    <row r="546" spans="1:7" x14ac:dyDescent="0.3">
      <c r="A546" t="s">
        <v>308</v>
      </c>
      <c r="B546" t="s">
        <v>316</v>
      </c>
      <c r="C546" s="13">
        <f>'Attributes Back Calcs'!$P$107</f>
        <v>550</v>
      </c>
      <c r="E546" s="13"/>
      <c r="F546" s="13">
        <f>C546</f>
        <v>550</v>
      </c>
      <c r="G546" s="13">
        <f>F546</f>
        <v>550</v>
      </c>
    </row>
    <row r="547" spans="1:7" x14ac:dyDescent="0.3">
      <c r="A547" t="s">
        <v>309</v>
      </c>
      <c r="B547" t="s">
        <v>319</v>
      </c>
      <c r="C547" s="13">
        <f>3000*'Attributes Inputs and Outputs'!$I$8</f>
        <v>6000</v>
      </c>
      <c r="D547" s="37"/>
      <c r="E547" s="13"/>
      <c r="F547" s="51">
        <f>C547</f>
        <v>6000</v>
      </c>
      <c r="G547" s="51">
        <f>F547</f>
        <v>6000</v>
      </c>
    </row>
    <row r="548" spans="1:7" x14ac:dyDescent="0.3">
      <c r="A548" t="s">
        <v>311</v>
      </c>
      <c r="B548" t="s">
        <v>320</v>
      </c>
      <c r="C548" s="13">
        <f>4500*1.06+8*50</f>
        <v>5170</v>
      </c>
      <c r="D548" s="13"/>
      <c r="E548" s="13"/>
      <c r="F548" s="13">
        <f>C548</f>
        <v>5170</v>
      </c>
      <c r="G548" s="51">
        <f>F548</f>
        <v>5170</v>
      </c>
    </row>
    <row r="549" spans="1:7" x14ac:dyDescent="0.3">
      <c r="A549" t="s">
        <v>312</v>
      </c>
      <c r="B549" t="s">
        <v>321</v>
      </c>
      <c r="C549" s="13"/>
      <c r="D549" s="14">
        <v>0.5</v>
      </c>
      <c r="E549" s="13"/>
      <c r="F549" s="13">
        <f>D549*F$522</f>
        <v>250</v>
      </c>
      <c r="G549" s="13">
        <f>F549*('Attributes Inputs and Outputs'!$L$8/'Defaults and Ranges'!$O$6)</f>
        <v>250</v>
      </c>
    </row>
    <row r="550" spans="1:7" x14ac:dyDescent="0.3">
      <c r="A550" t="s">
        <v>313</v>
      </c>
      <c r="B550" t="s">
        <v>187</v>
      </c>
      <c r="C550" s="13"/>
      <c r="D550" s="37"/>
      <c r="E550" s="13"/>
      <c r="F550" s="13"/>
      <c r="G550" s="13"/>
    </row>
    <row r="551" spans="1:7" x14ac:dyDescent="0.3">
      <c r="A551" t="s">
        <v>314</v>
      </c>
      <c r="B551" t="s">
        <v>187</v>
      </c>
      <c r="C551" s="13"/>
      <c r="D551" s="37"/>
      <c r="E551" s="13"/>
      <c r="F551" s="13"/>
      <c r="G551" s="13"/>
    </row>
    <row r="552" spans="1:7" x14ac:dyDescent="0.3">
      <c r="A552" t="s">
        <v>315</v>
      </c>
      <c r="B552" t="s">
        <v>187</v>
      </c>
      <c r="C552" s="13"/>
      <c r="D552" s="13"/>
      <c r="E552" s="13"/>
      <c r="F552" s="13"/>
      <c r="G552" s="13"/>
    </row>
    <row r="553" spans="1:7" x14ac:dyDescent="0.3">
      <c r="A553" t="s">
        <v>146</v>
      </c>
      <c r="B553" t="s">
        <v>1013</v>
      </c>
      <c r="C553" s="13">
        <f>100*IF('Attributes Inputs and Outputs'!I8&gt;2, 'Attributes Inputs and Outputs'!I8, 2)</f>
        <v>200</v>
      </c>
      <c r="D553" s="13"/>
      <c r="E553" s="13"/>
      <c r="F553" s="13">
        <f>C553</f>
        <v>200</v>
      </c>
      <c r="G553" s="13">
        <f>F553</f>
        <v>200</v>
      </c>
    </row>
    <row r="554" spans="1:7" x14ac:dyDescent="0.3">
      <c r="D554" s="39" t="s">
        <v>133</v>
      </c>
      <c r="E554" s="40">
        <f>SUM(E545:E552)</f>
        <v>0</v>
      </c>
      <c r="F554" s="40">
        <f>SUM(F545:F552)</f>
        <v>12795</v>
      </c>
      <c r="G554" s="40">
        <f>SUM(G545:G553)</f>
        <v>12995</v>
      </c>
    </row>
    <row r="555" spans="1:7" x14ac:dyDescent="0.3">
      <c r="A555" s="7" t="s">
        <v>64</v>
      </c>
      <c r="B555" s="13"/>
      <c r="F555" s="13"/>
    </row>
    <row r="556" spans="1:7" x14ac:dyDescent="0.3">
      <c r="A556" t="s">
        <v>203</v>
      </c>
      <c r="B556" t="s">
        <v>322</v>
      </c>
      <c r="C556" s="13"/>
      <c r="D556" s="37">
        <f>6+0.75</f>
        <v>6.75</v>
      </c>
      <c r="E556" s="13"/>
      <c r="F556" s="13">
        <f>D556*F522</f>
        <v>3375</v>
      </c>
      <c r="G556" s="13">
        <f>F556</f>
        <v>3375</v>
      </c>
    </row>
    <row r="557" spans="1:7" x14ac:dyDescent="0.3">
      <c r="A557" t="s">
        <v>308</v>
      </c>
      <c r="B557" t="s">
        <v>323</v>
      </c>
      <c r="C557" s="13">
        <f>'Attributes Back Calcs'!$P$107+500</f>
        <v>1050</v>
      </c>
      <c r="D557" s="37"/>
      <c r="E557" s="13"/>
      <c r="F557" s="13">
        <f>C557</f>
        <v>1050</v>
      </c>
      <c r="G557" s="13">
        <f>F557</f>
        <v>1050</v>
      </c>
    </row>
    <row r="558" spans="1:7" x14ac:dyDescent="0.3">
      <c r="A558" t="s">
        <v>309</v>
      </c>
      <c r="B558" t="s">
        <v>324</v>
      </c>
      <c r="C558" s="13">
        <f>5000*'Attributes Inputs and Outputs'!$I$8</f>
        <v>10000</v>
      </c>
      <c r="D558" s="37"/>
      <c r="E558" s="13"/>
      <c r="F558" s="51">
        <f>C558</f>
        <v>10000</v>
      </c>
      <c r="G558" s="51">
        <f>F558</f>
        <v>10000</v>
      </c>
    </row>
    <row r="559" spans="1:7" x14ac:dyDescent="0.3">
      <c r="A559" t="s">
        <v>311</v>
      </c>
      <c r="B559" t="s">
        <v>325</v>
      </c>
      <c r="C559" s="13">
        <f>7629*1.06+16*50</f>
        <v>8886.7400000000016</v>
      </c>
      <c r="D559" s="13"/>
      <c r="E559" s="13"/>
      <c r="F559" s="13">
        <f>C559</f>
        <v>8886.7400000000016</v>
      </c>
      <c r="G559" s="51">
        <f>F559</f>
        <v>8886.7400000000016</v>
      </c>
    </row>
    <row r="560" spans="1:7" x14ac:dyDescent="0.3">
      <c r="A560" t="s">
        <v>312</v>
      </c>
      <c r="B560" t="s">
        <v>321</v>
      </c>
      <c r="C560" s="13"/>
      <c r="D560" s="14">
        <v>0.5</v>
      </c>
      <c r="E560" s="13"/>
      <c r="F560" s="13">
        <f>D560*F$522</f>
        <v>250</v>
      </c>
      <c r="G560" s="13">
        <f>F560*('Attributes Inputs and Outputs'!$L$8/'Defaults and Ranges'!$O$6)</f>
        <v>250</v>
      </c>
    </row>
    <row r="561" spans="1:7" x14ac:dyDescent="0.3">
      <c r="A561" t="s">
        <v>313</v>
      </c>
      <c r="B561" t="s">
        <v>326</v>
      </c>
      <c r="C561" s="13"/>
      <c r="D561" s="37">
        <v>2</v>
      </c>
      <c r="E561" s="13"/>
      <c r="F561" s="13">
        <f>D561*F522</f>
        <v>1000</v>
      </c>
      <c r="G561" s="13">
        <f>F561</f>
        <v>1000</v>
      </c>
    </row>
    <row r="562" spans="1:7" x14ac:dyDescent="0.3">
      <c r="A562" t="s">
        <v>314</v>
      </c>
      <c r="B562" t="s">
        <v>327</v>
      </c>
      <c r="C562" s="13">
        <v>500</v>
      </c>
      <c r="D562" s="37"/>
      <c r="E562" s="13"/>
      <c r="F562" s="13">
        <f>C562</f>
        <v>500</v>
      </c>
      <c r="G562" s="13">
        <f>F562</f>
        <v>500</v>
      </c>
    </row>
    <row r="563" spans="1:7" x14ac:dyDescent="0.3">
      <c r="A563" t="s">
        <v>315</v>
      </c>
      <c r="B563" t="s">
        <v>328</v>
      </c>
      <c r="C563" s="13">
        <f>450+600</f>
        <v>1050</v>
      </c>
      <c r="D563" s="13"/>
      <c r="E563" s="13"/>
      <c r="F563" s="13">
        <f>C563</f>
        <v>1050</v>
      </c>
      <c r="G563" s="13">
        <f>F563</f>
        <v>1050</v>
      </c>
    </row>
    <row r="564" spans="1:7" x14ac:dyDescent="0.3">
      <c r="A564" t="s">
        <v>146</v>
      </c>
      <c r="B564" t="s">
        <v>1014</v>
      </c>
      <c r="C564" s="13">
        <f>100*IF('Attributes Inputs and Outputs'!I8&gt;2, 'Attributes Inputs and Outputs'!I8*2, 4)</f>
        <v>400</v>
      </c>
      <c r="D564" s="13"/>
      <c r="E564" s="13"/>
      <c r="F564" s="13">
        <f>C564</f>
        <v>400</v>
      </c>
      <c r="G564" s="13">
        <f>F564</f>
        <v>400</v>
      </c>
    </row>
    <row r="565" spans="1:7" x14ac:dyDescent="0.3">
      <c r="C565" s="13"/>
      <c r="D565" s="13"/>
      <c r="E565" s="13"/>
      <c r="F565" s="13"/>
      <c r="G565" s="13"/>
    </row>
    <row r="566" spans="1:7" x14ac:dyDescent="0.3">
      <c r="D566" s="39" t="s">
        <v>137</v>
      </c>
      <c r="E566" s="40">
        <f>SUM(E556:E563)</f>
        <v>0</v>
      </c>
      <c r="F566" s="40">
        <f>SUM(F556:F563)</f>
        <v>26111.74</v>
      </c>
      <c r="G566" s="40">
        <f>SUM(G556:G564)</f>
        <v>26511.74</v>
      </c>
    </row>
    <row r="570" spans="1:7" x14ac:dyDescent="0.3">
      <c r="D570" t="s">
        <v>108</v>
      </c>
      <c r="E570" t="s">
        <v>652</v>
      </c>
      <c r="F570" t="s">
        <v>1161</v>
      </c>
      <c r="G570" t="s">
        <v>159</v>
      </c>
    </row>
    <row r="571" spans="1:7" x14ac:dyDescent="0.3">
      <c r="B571" t="s">
        <v>1160</v>
      </c>
      <c r="D571" s="16">
        <f>0.28*'Defaults and Ranges'!D7</f>
        <v>643.72</v>
      </c>
      <c r="E571" s="11">
        <f>F571+IF('Attributes Inputs and Outputs'!H8='Defaults and Ranges'!K24, F232, 0)+IF('Attributes Inputs and Outputs'!H9='Defaults and Ranges'!K25, F259, 0)+IF('Attributes Inputs and Outputs'!H13='Defaults and Ranges'!K29, F361, 0)+IF(E6=0.5, 30,0)</f>
        <v>1034.55</v>
      </c>
      <c r="F571" s="11">
        <f>0.45*'Attributes Calculations'!E16</f>
        <v>1034.55</v>
      </c>
    </row>
    <row r="572" spans="1:7" x14ac:dyDescent="0.3">
      <c r="A572" s="7" t="s">
        <v>61</v>
      </c>
      <c r="D572" t="s">
        <v>139</v>
      </c>
    </row>
    <row r="573" spans="1:7" x14ac:dyDescent="0.3">
      <c r="A573" t="s">
        <v>203</v>
      </c>
      <c r="B573" t="s">
        <v>1152</v>
      </c>
      <c r="C573" s="13"/>
      <c r="D573" s="37">
        <v>4</v>
      </c>
      <c r="E573" s="13">
        <f>$D573*D$571</f>
        <v>2574.88</v>
      </c>
      <c r="F573" s="13">
        <f>$D573*E$571</f>
        <v>4138.2</v>
      </c>
      <c r="G573" s="13">
        <f>F573*(1+(IF('Attributes Inputs and Outputs'!$O$8=Inputs!$C$44,Inputs!$C$45,IF('Attributes Inputs and Outputs'!$O$8=Inputs!$D$44,Inputs!$D$45,IF('Attributes Inputs and Outputs'!$O$8=Inputs!$E$44,Inputs!$E$45,IF('Attributes Inputs and Outputs'!$O$8=Inputs!$F$44,Inputs!$F$45,Inputs!$G$45))))))</f>
        <v>4138.2</v>
      </c>
    </row>
    <row r="574" spans="1:7" x14ac:dyDescent="0.3">
      <c r="D574" s="39" t="s">
        <v>127</v>
      </c>
      <c r="E574" s="40">
        <f>SUM(E573:E573)</f>
        <v>2574.88</v>
      </c>
      <c r="F574" s="40">
        <f>SUM(F573:F573)</f>
        <v>4138.2</v>
      </c>
      <c r="G574" s="40">
        <f>SUM(G573:G573)</f>
        <v>4138.2</v>
      </c>
    </row>
    <row r="575" spans="1:7" x14ac:dyDescent="0.3">
      <c r="A575" s="7" t="s">
        <v>62</v>
      </c>
      <c r="C575" s="13"/>
      <c r="D575" s="13"/>
      <c r="E575" s="13"/>
      <c r="F575" s="13"/>
    </row>
    <row r="576" spans="1:7" x14ac:dyDescent="0.3">
      <c r="A576" t="s">
        <v>203</v>
      </c>
      <c r="B576" t="s">
        <v>1418</v>
      </c>
      <c r="C576" s="13"/>
      <c r="D576" s="37">
        <f>5+4</f>
        <v>9</v>
      </c>
      <c r="E576" s="13">
        <f>$D576*D$571</f>
        <v>5793.4800000000005</v>
      </c>
      <c r="F576" s="13">
        <f>$D576*E$571</f>
        <v>9310.9499999999989</v>
      </c>
      <c r="G576" s="13">
        <f>F576*(1+(IF('Attributes Inputs and Outputs'!$O$8=Inputs!$C$44,Inputs!$C$45,IF('Attributes Inputs and Outputs'!$O$8=Inputs!$D$44,Inputs!$D$45,IF('Attributes Inputs and Outputs'!$O$8=Inputs!$E$44,Inputs!$E$45,IF('Attributes Inputs and Outputs'!$O$8=Inputs!$F$44,Inputs!$F$45,Inputs!$G$45))))))</f>
        <v>9310.9499999999989</v>
      </c>
    </row>
    <row r="577" spans="1:11" x14ac:dyDescent="0.3">
      <c r="D577" s="39" t="s">
        <v>130</v>
      </c>
      <c r="E577" s="40">
        <f>SUM(E576:E576)</f>
        <v>5793.4800000000005</v>
      </c>
      <c r="F577" s="40">
        <f>SUM(F576:F576)</f>
        <v>9310.9499999999989</v>
      </c>
      <c r="G577" s="40">
        <f>SUM(G576:G576)</f>
        <v>9310.9499999999989</v>
      </c>
    </row>
    <row r="578" spans="1:11" x14ac:dyDescent="0.3">
      <c r="A578" s="7" t="s">
        <v>63</v>
      </c>
      <c r="F578" s="13"/>
    </row>
    <row r="579" spans="1:11" x14ac:dyDescent="0.3">
      <c r="A579" t="s">
        <v>203</v>
      </c>
      <c r="B579" t="s">
        <v>1377</v>
      </c>
      <c r="C579" s="13"/>
      <c r="D579" s="37">
        <v>15</v>
      </c>
      <c r="E579" s="13">
        <f>$D579*D$571</f>
        <v>9655.8000000000011</v>
      </c>
      <c r="F579" s="13">
        <f>$D579*E$571</f>
        <v>15518.25</v>
      </c>
      <c r="G579" s="13">
        <f>F579*(1+(IF('Attributes Inputs and Outputs'!$O$8=Inputs!$C$44,Inputs!$C$45,IF('Attributes Inputs and Outputs'!$O$8=Inputs!$D$44,Inputs!$D$45,IF('Attributes Inputs and Outputs'!$O$8=Inputs!$E$44,Inputs!$E$45,IF('Attributes Inputs and Outputs'!$O$8=Inputs!$F$44,Inputs!$F$45,Inputs!$G$45))))))</f>
        <v>15518.25</v>
      </c>
    </row>
    <row r="580" spans="1:11" x14ac:dyDescent="0.3">
      <c r="D580" s="39" t="s">
        <v>133</v>
      </c>
      <c r="E580" s="40">
        <f>SUM(E579:E579)</f>
        <v>9655.8000000000011</v>
      </c>
      <c r="F580" s="40">
        <f>SUM(F579:F579)</f>
        <v>15518.25</v>
      </c>
      <c r="G580" s="40">
        <f>SUM(G579:G579)</f>
        <v>15518.25</v>
      </c>
    </row>
    <row r="581" spans="1:11" x14ac:dyDescent="0.3">
      <c r="A581" s="7" t="s">
        <v>64</v>
      </c>
      <c r="B581" s="13"/>
      <c r="F581" s="13"/>
    </row>
    <row r="582" spans="1:11" x14ac:dyDescent="0.3">
      <c r="A582" t="s">
        <v>203</v>
      </c>
      <c r="B582" t="s">
        <v>1419</v>
      </c>
      <c r="C582" s="13"/>
      <c r="D582" s="37">
        <v>21.5</v>
      </c>
      <c r="E582" s="13">
        <f>$D582*D$571</f>
        <v>13839.980000000001</v>
      </c>
      <c r="F582" s="13">
        <f>$D582*E$571</f>
        <v>22242.825000000001</v>
      </c>
      <c r="G582" s="13">
        <f>F582*(1+(IF('Attributes Inputs and Outputs'!$O$8=Inputs!$C$44,Inputs!$C$45,IF('Attributes Inputs and Outputs'!$O$8=Inputs!$D$44,Inputs!$D$45,IF('Attributes Inputs and Outputs'!$O$8=Inputs!$E$44,Inputs!$E$45,IF('Attributes Inputs and Outputs'!$O$8=Inputs!$F$44,Inputs!$F$45,Inputs!$G$45))))))</f>
        <v>22242.825000000001</v>
      </c>
    </row>
    <row r="583" spans="1:11" x14ac:dyDescent="0.3">
      <c r="D583" s="39" t="s">
        <v>137</v>
      </c>
      <c r="E583" s="40">
        <f>SUM(E582:E582)</f>
        <v>13839.980000000001</v>
      </c>
      <c r="F583" s="40">
        <f>SUM(F582:F582)</f>
        <v>22242.825000000001</v>
      </c>
      <c r="G583" s="40">
        <f>SUM(G582:G582)</f>
        <v>22242.825000000001</v>
      </c>
    </row>
    <row r="586" spans="1:11" x14ac:dyDescent="0.3">
      <c r="E586" t="s">
        <v>108</v>
      </c>
      <c r="F586" t="s">
        <v>158</v>
      </c>
      <c r="G586" t="s">
        <v>159</v>
      </c>
    </row>
    <row r="587" spans="1:11" x14ac:dyDescent="0.3">
      <c r="B587" t="s">
        <v>579</v>
      </c>
      <c r="F587" s="34"/>
    </row>
    <row r="588" spans="1:11" x14ac:dyDescent="0.3">
      <c r="A588" s="7" t="s">
        <v>61</v>
      </c>
      <c r="D588" t="s">
        <v>139</v>
      </c>
      <c r="E588" s="16"/>
      <c r="F588" s="11">
        <f>'Attributes Back Calcs'!G19</f>
        <v>0</v>
      </c>
    </row>
    <row r="589" spans="1:11" ht="15" thickBot="1" x14ac:dyDescent="0.35">
      <c r="A589" t="s">
        <v>177</v>
      </c>
      <c r="B589" t="s">
        <v>723</v>
      </c>
      <c r="C589" s="13"/>
      <c r="D589" s="37">
        <v>0</v>
      </c>
      <c r="E589" s="13"/>
      <c r="F589" s="13">
        <f>$C589+($D589*F$588)</f>
        <v>0</v>
      </c>
      <c r="G589" s="13">
        <f>F589*(1+(IF('Attributes Inputs and Outputs'!$O$8=Inputs!$C$44,Inputs!$C$45,IF('Attributes Inputs and Outputs'!$O$8=Inputs!$D$44,Inputs!$D$45,IF('Attributes Inputs and Outputs'!$O$8=Inputs!$E$44,Inputs!$E$45,IF('Attributes Inputs and Outputs'!$O$8=Inputs!$F$44,Inputs!$F$45,Inputs!$G$45))))))</f>
        <v>0</v>
      </c>
    </row>
    <row r="590" spans="1:11" x14ac:dyDescent="0.3">
      <c r="A590" t="s">
        <v>178</v>
      </c>
      <c r="B590" t="s">
        <v>179</v>
      </c>
      <c r="C590" s="13"/>
      <c r="D590" s="13">
        <v>0</v>
      </c>
      <c r="E590" s="13"/>
      <c r="F590" s="13">
        <f>E590</f>
        <v>0</v>
      </c>
      <c r="G590" s="13">
        <f>F590</f>
        <v>0</v>
      </c>
      <c r="I590" s="70" t="s">
        <v>1015</v>
      </c>
      <c r="J590" s="71"/>
      <c r="K590" s="72"/>
    </row>
    <row r="591" spans="1:11" x14ac:dyDescent="0.3">
      <c r="A591" t="s">
        <v>146</v>
      </c>
      <c r="B591" t="s">
        <v>583</v>
      </c>
      <c r="C591" s="13"/>
      <c r="D591" s="14">
        <f>75*0.0045</f>
        <v>0.33749999999999997</v>
      </c>
      <c r="E591" s="13"/>
      <c r="F591" s="13">
        <f>$C591+($D591*F$588)</f>
        <v>0</v>
      </c>
      <c r="G591" s="13">
        <f>F591</f>
        <v>0</v>
      </c>
      <c r="I591" s="73" t="s">
        <v>988</v>
      </c>
      <c r="J591" t="s">
        <v>992</v>
      </c>
      <c r="K591" s="74" t="s">
        <v>994</v>
      </c>
    </row>
    <row r="592" spans="1:11" x14ac:dyDescent="0.3">
      <c r="A592" t="s">
        <v>221</v>
      </c>
      <c r="B592" t="s">
        <v>590</v>
      </c>
      <c r="C592" s="13"/>
      <c r="D592" s="37">
        <v>2</v>
      </c>
      <c r="E592" s="13"/>
      <c r="F592" s="13">
        <f>$C592+($D592*F$588)</f>
        <v>0</v>
      </c>
      <c r="G592" s="13">
        <f>F592*(1+(IF('Attributes Inputs and Outputs'!$O$8=Inputs!$C$44,Inputs!$C$45,IF('Attributes Inputs and Outputs'!$O$8=Inputs!$D$44,Inputs!$D$45,IF('Attributes Inputs and Outputs'!$O$8=Inputs!$E$44,Inputs!$E$45,IF('Attributes Inputs and Outputs'!$O$8=Inputs!$F$44,Inputs!$F$45,Inputs!$G$45))))))</f>
        <v>0</v>
      </c>
      <c r="I592" s="73" t="s">
        <v>61</v>
      </c>
      <c r="J592" s="18">
        <f>F588*0.0045</f>
        <v>0</v>
      </c>
      <c r="K592" s="18">
        <f>J592</f>
        <v>0</v>
      </c>
    </row>
    <row r="593" spans="1:11" x14ac:dyDescent="0.3">
      <c r="A593" t="s">
        <v>222</v>
      </c>
      <c r="B593" t="s">
        <v>187</v>
      </c>
      <c r="C593" s="13"/>
      <c r="D593" s="37"/>
      <c r="E593" s="13"/>
      <c r="F593" s="13"/>
      <c r="G593" s="13"/>
      <c r="I593" s="73" t="s">
        <v>63</v>
      </c>
      <c r="J593" s="18">
        <f>F588*0.0045*3+F588/1000+1</f>
        <v>1</v>
      </c>
      <c r="K593" s="18">
        <f>J593</f>
        <v>1</v>
      </c>
    </row>
    <row r="594" spans="1:11" x14ac:dyDescent="0.3">
      <c r="A594" t="s">
        <v>580</v>
      </c>
      <c r="B594" t="s">
        <v>187</v>
      </c>
      <c r="C594" s="13"/>
      <c r="D594" s="37"/>
      <c r="E594" s="13"/>
      <c r="F594" s="13"/>
      <c r="G594" s="13"/>
      <c r="I594" s="73" t="s">
        <v>64</v>
      </c>
      <c r="J594" s="18">
        <f>F588*0.0045*3+F588/1000+1</f>
        <v>1</v>
      </c>
      <c r="K594" s="18">
        <f>J594</f>
        <v>1</v>
      </c>
    </row>
    <row r="595" spans="1:11" x14ac:dyDescent="0.3">
      <c r="D595" s="39" t="s">
        <v>127</v>
      </c>
      <c r="E595" s="40">
        <f>SUM(E589:E594)</f>
        <v>0</v>
      </c>
      <c r="F595" s="40">
        <f>SUM(F589:F594)</f>
        <v>0</v>
      </c>
      <c r="G595" s="40">
        <f>SUM(G589:G594)</f>
        <v>0</v>
      </c>
      <c r="I595" s="73" t="s">
        <v>62</v>
      </c>
      <c r="J595" s="18">
        <f>F588*0.0045*2</f>
        <v>0</v>
      </c>
      <c r="K595" s="18">
        <f>J595</f>
        <v>0</v>
      </c>
    </row>
    <row r="596" spans="1:11" x14ac:dyDescent="0.3">
      <c r="A596" s="7" t="s">
        <v>62</v>
      </c>
      <c r="C596" s="13"/>
      <c r="D596" s="13"/>
      <c r="E596" s="13"/>
      <c r="F596" s="13"/>
      <c r="I596" s="73"/>
      <c r="K596" s="74"/>
    </row>
    <row r="597" spans="1:11" ht="15" thickBot="1" x14ac:dyDescent="0.35">
      <c r="A597" t="s">
        <v>177</v>
      </c>
      <c r="B597" t="s">
        <v>710</v>
      </c>
      <c r="C597" s="13">
        <v>50</v>
      </c>
      <c r="D597" s="37">
        <v>0</v>
      </c>
      <c r="E597" s="13"/>
      <c r="F597" s="13">
        <f t="shared" ref="F597:F602" si="16">$C597+($D597*F$588)</f>
        <v>50</v>
      </c>
      <c r="G597" s="13">
        <f>F597*(1+(IF('Attributes Inputs and Outputs'!$O$8=Inputs!$C$44,Inputs!$C$45,IF('Attributes Inputs and Outputs'!$O$8=Inputs!$D$44,Inputs!$D$45,IF('Attributes Inputs and Outputs'!$O$8=Inputs!$E$44,Inputs!$E$45,IF('Attributes Inputs and Outputs'!$O$8=Inputs!$F$44,Inputs!$F$45,Inputs!$G$45))))))</f>
        <v>50</v>
      </c>
      <c r="I597" s="75"/>
      <c r="J597" s="76" t="s">
        <v>990</v>
      </c>
      <c r="K597" s="83">
        <f xml:space="preserve"> IF('Attributes Inputs and Outputs'!E8='Defaults and Ranges'!G26, LOOKUP('Packages Inputs and Outputs'!E29, I592:I595, K592:K595), 0)</f>
        <v>0</v>
      </c>
    </row>
    <row r="598" spans="1:11" x14ac:dyDescent="0.3">
      <c r="A598" t="s">
        <v>178</v>
      </c>
      <c r="B598" t="s">
        <v>186</v>
      </c>
      <c r="C598" s="13"/>
      <c r="D598" s="14">
        <v>0.75</v>
      </c>
      <c r="E598" s="13"/>
      <c r="F598" s="13">
        <f t="shared" si="16"/>
        <v>0</v>
      </c>
      <c r="G598" s="13">
        <f>F598*(1+(Inputs!$C$43*('Attributes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599" spans="1:11" x14ac:dyDescent="0.3">
      <c r="A599" t="s">
        <v>146</v>
      </c>
      <c r="B599" t="s">
        <v>589</v>
      </c>
      <c r="C599" s="13"/>
      <c r="D599" s="14">
        <f>125*0.0045*2</f>
        <v>1.125</v>
      </c>
      <c r="E599" s="13"/>
      <c r="F599" s="13">
        <f t="shared" si="16"/>
        <v>0</v>
      </c>
      <c r="G599" s="13">
        <f>F599</f>
        <v>0</v>
      </c>
    </row>
    <row r="600" spans="1:11" x14ac:dyDescent="0.3">
      <c r="A600" t="s">
        <v>221</v>
      </c>
      <c r="B600" t="s">
        <v>296</v>
      </c>
      <c r="C600" s="13"/>
      <c r="D600" s="37">
        <f>Inputs!C70</f>
        <v>2.8</v>
      </c>
      <c r="E600" s="13"/>
      <c r="F600" s="13">
        <f t="shared" si="16"/>
        <v>0</v>
      </c>
      <c r="G600" s="13">
        <f>F600*(1+(IF('Attributes Inputs and Outputs'!$O$8=Inputs!$C$44,Inputs!$C$45,IF('Attributes Inputs and Outputs'!$O$8=Inputs!$D$44,Inputs!$D$45,IF('Attributes Inputs and Outputs'!$O$8=Inputs!$E$44,Inputs!$E$45,IF('Attributes Inputs and Outputs'!$O$8=Inputs!$F$44,Inputs!$F$45,Inputs!$G$45))))))</f>
        <v>0</v>
      </c>
    </row>
    <row r="601" spans="1:11" x14ac:dyDescent="0.3">
      <c r="A601" t="s">
        <v>222</v>
      </c>
      <c r="B601" t="s">
        <v>187</v>
      </c>
      <c r="C601" s="13"/>
      <c r="D601" s="37"/>
      <c r="E601" s="13"/>
      <c r="F601" s="13"/>
      <c r="G601" s="13"/>
    </row>
    <row r="602" spans="1:11" x14ac:dyDescent="0.3">
      <c r="A602" t="s">
        <v>580</v>
      </c>
      <c r="B602" t="s">
        <v>594</v>
      </c>
      <c r="C602" s="13">
        <f>750+750+450+700+300</f>
        <v>2950</v>
      </c>
      <c r="D602" s="37">
        <v>0.4</v>
      </c>
      <c r="E602" s="13"/>
      <c r="F602" s="13">
        <f t="shared" si="16"/>
        <v>2950</v>
      </c>
      <c r="G602" s="13">
        <f>F602*(1+(Inputs!$C$43*('Attributes Inputs and Outputs'!$K$8-'Defaults and Ranges'!$N$6)))*(1+(IF('Attributes Inputs and Outputs'!$O$8=Inputs!$C$44,Inputs!$C$45,IF('Attributes Inputs and Outputs'!$O$8=Inputs!$D$44,Inputs!$D$45,IF('Attributes Inputs and Outputs'!$O$8=Inputs!$E$44,Inputs!$E$45,IF('Attributes Inputs and Outputs'!$O$8=Inputs!$F$44,Inputs!$F$45,Inputs!$G$45))))))</f>
        <v>2950</v>
      </c>
    </row>
    <row r="603" spans="1:11" x14ac:dyDescent="0.3">
      <c r="D603" s="39" t="s">
        <v>130</v>
      </c>
      <c r="E603" s="40">
        <f>SUM(E597:E602)</f>
        <v>0</v>
      </c>
      <c r="F603" s="40">
        <f>SUM(F597:F602)</f>
        <v>3000</v>
      </c>
      <c r="G603" s="40">
        <f>SUM(G597:G602)</f>
        <v>3000</v>
      </c>
    </row>
    <row r="604" spans="1:11" x14ac:dyDescent="0.3">
      <c r="A604" s="7" t="s">
        <v>63</v>
      </c>
      <c r="F604" s="13"/>
    </row>
    <row r="605" spans="1:11" x14ac:dyDescent="0.3">
      <c r="A605" t="s">
        <v>177</v>
      </c>
      <c r="B605" t="s">
        <v>724</v>
      </c>
      <c r="C605" s="13"/>
      <c r="D605" s="37">
        <f>0.9</f>
        <v>0.9</v>
      </c>
      <c r="E605" s="13"/>
      <c r="F605" s="13">
        <f t="shared" ref="F605:F610" si="17">$C605+($D605*F$588)</f>
        <v>0</v>
      </c>
      <c r="G605" s="13">
        <f>F605*(1+(Inputs!$C$43*('Attributes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606" spans="1:11" x14ac:dyDescent="0.3">
      <c r="A606" t="s">
        <v>178</v>
      </c>
      <c r="B606" t="s">
        <v>591</v>
      </c>
      <c r="C606" s="13"/>
      <c r="D606" s="37">
        <f>3</f>
        <v>3</v>
      </c>
      <c r="E606" s="13"/>
      <c r="F606" s="13">
        <f t="shared" si="17"/>
        <v>0</v>
      </c>
      <c r="G606" s="13">
        <f>F606*(1+(Inputs!$C$43*('Attributes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607" spans="1:11" x14ac:dyDescent="0.3">
      <c r="A607" t="s">
        <v>146</v>
      </c>
      <c r="B607" t="s">
        <v>1017</v>
      </c>
      <c r="C607" s="13">
        <f>800</f>
        <v>800</v>
      </c>
      <c r="D607" s="37">
        <f>125*0.0045*3+300/1000</f>
        <v>1.9875</v>
      </c>
      <c r="E607" s="13"/>
      <c r="F607" s="13">
        <f t="shared" si="17"/>
        <v>800</v>
      </c>
      <c r="G607" s="13">
        <f>F607</f>
        <v>800</v>
      </c>
    </row>
    <row r="608" spans="1:11" x14ac:dyDescent="0.3">
      <c r="A608" t="s">
        <v>221</v>
      </c>
      <c r="B608" t="s">
        <v>595</v>
      </c>
      <c r="C608" s="13"/>
      <c r="D608" s="37">
        <f>7+2.5</f>
        <v>9.5</v>
      </c>
      <c r="E608" s="13"/>
      <c r="F608" s="13">
        <f t="shared" si="17"/>
        <v>0</v>
      </c>
      <c r="G608" s="13">
        <f>F608*(1+(IF('Attributes Inputs and Outputs'!$O$8=Inputs!$C$44,Inputs!$C$45,IF('Attributes Inputs and Outputs'!$O$8=Inputs!$D$44,Inputs!$D$45,IF('Attributes Inputs and Outputs'!$O$8=Inputs!$E$44,Inputs!$E$45,IF('Attributes Inputs and Outputs'!$O$8=Inputs!$F$44,Inputs!$F$45,Inputs!$G$45))))))</f>
        <v>0</v>
      </c>
    </row>
    <row r="609" spans="1:7" x14ac:dyDescent="0.3">
      <c r="A609" t="s">
        <v>222</v>
      </c>
      <c r="B609" t="s">
        <v>593</v>
      </c>
      <c r="C609" s="13">
        <f>3000+(7+10)*6*9</f>
        <v>3918</v>
      </c>
      <c r="D609" s="13"/>
      <c r="E609" s="13"/>
      <c r="F609" s="13">
        <f t="shared" si="17"/>
        <v>3918</v>
      </c>
      <c r="G609" s="13">
        <f>F609*(1+(Inputs!$C$43*('Attributes Inputs and Outputs'!$K$8-'Defaults and Ranges'!$N$6)))*(1+(IF('Attributes Inputs and Outputs'!$O$8=Inputs!$C$44,Inputs!$C$45,IF('Attributes Inputs and Outputs'!$O$8=Inputs!$D$44,Inputs!$D$45,IF('Attributes Inputs and Outputs'!$O$8=Inputs!$E$44,Inputs!$E$45,IF('Attributes Inputs and Outputs'!$O$8=Inputs!$F$44,Inputs!$F$45,Inputs!$G$45))))))</f>
        <v>3918</v>
      </c>
    </row>
    <row r="610" spans="1:7" x14ac:dyDescent="0.3">
      <c r="A610" t="s">
        <v>580</v>
      </c>
      <c r="B610" t="s">
        <v>597</v>
      </c>
      <c r="C610" s="13">
        <f>1000+1500+800+1500+1500+300+((7+7)*(10*5))+600+150</f>
        <v>8050</v>
      </c>
      <c r="D610" s="37">
        <v>0.6</v>
      </c>
      <c r="E610" s="13"/>
      <c r="F610" s="13">
        <f t="shared" si="17"/>
        <v>8050</v>
      </c>
      <c r="G610" s="13">
        <f>F610*(1+(Inputs!$C$43*('Attributes Inputs and Outputs'!$K$8-'Defaults and Ranges'!$N$6)))*(1+(IF('Attributes Inputs and Outputs'!$O$8=Inputs!$C$44,Inputs!$C$45,IF('Attributes Inputs and Outputs'!$O$8=Inputs!$D$44,Inputs!$D$45,IF('Attributes Inputs and Outputs'!$O$8=Inputs!$E$44,Inputs!$E$45,IF('Attributes Inputs and Outputs'!$O$8=Inputs!$F$44,Inputs!$F$45,Inputs!$G$45))))))</f>
        <v>8050</v>
      </c>
    </row>
    <row r="611" spans="1:7" x14ac:dyDescent="0.3">
      <c r="D611" s="39" t="s">
        <v>133</v>
      </c>
      <c r="E611" s="40">
        <f>SUM(E605:E610)</f>
        <v>0</v>
      </c>
      <c r="F611" s="40">
        <f>SUM(F605:F610)</f>
        <v>12768</v>
      </c>
      <c r="G611" s="40">
        <f>SUM(G605:G610)</f>
        <v>12768</v>
      </c>
    </row>
    <row r="612" spans="1:7" x14ac:dyDescent="0.3">
      <c r="A612" s="7" t="s">
        <v>64</v>
      </c>
      <c r="B612" s="13"/>
      <c r="F612" s="13"/>
    </row>
    <row r="613" spans="1:7" x14ac:dyDescent="0.3">
      <c r="A613" t="s">
        <v>177</v>
      </c>
      <c r="B613" t="s">
        <v>718</v>
      </c>
      <c r="C613" s="13"/>
      <c r="D613" s="37">
        <v>0.9</v>
      </c>
      <c r="E613" s="13"/>
      <c r="F613" s="13">
        <f t="shared" ref="F613:F618" si="18">$C613+($D613*F$588)</f>
        <v>0</v>
      </c>
      <c r="G613" s="13">
        <f>F613*(1+(IF('Attributes Inputs and Outputs'!$O$8=Inputs!$C$44,Inputs!$C$45,IF('Attributes Inputs and Outputs'!$O$8=Inputs!$D$44,Inputs!$D$45,IF('Attributes Inputs and Outputs'!$O$8=Inputs!$E$44,Inputs!$E$45,IF('Attributes Inputs and Outputs'!$O$8=Inputs!$F$44,Inputs!$F$45,Inputs!$G$45))))))</f>
        <v>0</v>
      </c>
    </row>
    <row r="614" spans="1:7" x14ac:dyDescent="0.3">
      <c r="A614" t="s">
        <v>178</v>
      </c>
      <c r="B614" s="47" t="s">
        <v>195</v>
      </c>
      <c r="C614" s="13"/>
      <c r="D614" s="13">
        <f>5+3</f>
        <v>8</v>
      </c>
      <c r="E614" s="13"/>
      <c r="F614" s="13">
        <f t="shared" si="18"/>
        <v>0</v>
      </c>
      <c r="G614" s="13">
        <f>F614*(1+(Inputs!$C$43*('Attributes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615" spans="1:7" x14ac:dyDescent="0.3">
      <c r="A615" t="s">
        <v>146</v>
      </c>
      <c r="B615" t="s">
        <v>1016</v>
      </c>
      <c r="C615" s="13">
        <v>1500</v>
      </c>
      <c r="D615" s="37">
        <f>125*0.0045*3+600/1000</f>
        <v>2.2875000000000001</v>
      </c>
      <c r="E615" s="13"/>
      <c r="F615" s="13">
        <f t="shared" si="18"/>
        <v>1500</v>
      </c>
      <c r="G615" s="13">
        <f>F615</f>
        <v>1500</v>
      </c>
    </row>
    <row r="616" spans="1:7" x14ac:dyDescent="0.3">
      <c r="A616" t="s">
        <v>221</v>
      </c>
      <c r="B616" t="s">
        <v>596</v>
      </c>
      <c r="C616" s="13"/>
      <c r="D616" s="37">
        <v>16.5</v>
      </c>
      <c r="E616" s="13"/>
      <c r="F616" s="13">
        <f t="shared" si="18"/>
        <v>0</v>
      </c>
      <c r="G616" s="13">
        <f>F616*(1+(IF('Attributes Inputs and Outputs'!$O$8=Inputs!$C$44,Inputs!$C$45,IF('Attributes Inputs and Outputs'!$O$8=Inputs!$D$44,Inputs!$D$45,IF('Attributes Inputs and Outputs'!$O$8=Inputs!$E$44,Inputs!$E$45,IF('Attributes Inputs and Outputs'!$O$8=Inputs!$F$44,Inputs!$F$45,Inputs!$G$45))))))</f>
        <v>0</v>
      </c>
    </row>
    <row r="617" spans="1:7" x14ac:dyDescent="0.3">
      <c r="A617" t="s">
        <v>222</v>
      </c>
      <c r="B617" t="s">
        <v>243</v>
      </c>
      <c r="C617" s="13">
        <f>5500+(8+20)*6*9</f>
        <v>7012</v>
      </c>
      <c r="D617" s="13"/>
      <c r="E617" s="13"/>
      <c r="F617" s="13">
        <f t="shared" si="18"/>
        <v>7012</v>
      </c>
      <c r="G617" s="13">
        <f>F617*(1+(Inputs!$C$43*('Attributes Inputs and Outputs'!$K$8-'Defaults and Ranges'!$N$6)))*(1+(IF('Attributes Inputs and Outputs'!$O$8=Inputs!$C$44,Inputs!$C$45,IF('Attributes Inputs and Outputs'!$O$8=Inputs!$D$44,Inputs!$D$45,IF('Attributes Inputs and Outputs'!$O$8=Inputs!$E$44,Inputs!$E$45,IF('Attributes Inputs and Outputs'!$O$8=Inputs!$F$44,Inputs!$F$45,Inputs!$G$45))))))</f>
        <v>7012</v>
      </c>
    </row>
    <row r="618" spans="1:7" x14ac:dyDescent="0.3">
      <c r="A618" t="s">
        <v>580</v>
      </c>
      <c r="B618" t="s">
        <v>598</v>
      </c>
      <c r="C618" s="13">
        <f>2000+2500+800+2500+2500+300+((15+7)*(10*5))+900+150+500</f>
        <v>13250</v>
      </c>
      <c r="D618" s="37">
        <v>1</v>
      </c>
      <c r="E618" s="13"/>
      <c r="F618" s="13">
        <f t="shared" si="18"/>
        <v>13250</v>
      </c>
      <c r="G618" s="13">
        <f>F618*(1+(Inputs!$C$43*('Attributes Inputs and Outputs'!$K$8-'Defaults and Ranges'!$N$6)))*(1+(IF('Attributes Inputs and Outputs'!$O$8=Inputs!$C$44,Inputs!$C$45,IF('Attributes Inputs and Outputs'!$O$8=Inputs!$D$44,Inputs!$D$45,IF('Attributes Inputs and Outputs'!$O$8=Inputs!$E$44,Inputs!$E$45,IF('Attributes Inputs and Outputs'!$O$8=Inputs!$F$44,Inputs!$F$45,Inputs!$G$45))))))</f>
        <v>13250</v>
      </c>
    </row>
    <row r="619" spans="1:7" x14ac:dyDescent="0.3">
      <c r="D619" s="39" t="s">
        <v>137</v>
      </c>
      <c r="E619" s="40">
        <f>SUM(E613:E618)</f>
        <v>0</v>
      </c>
      <c r="F619" s="40">
        <f>SUM(F613:F618)</f>
        <v>21762</v>
      </c>
      <c r="G619" s="40">
        <f>SUM(G613:G618)</f>
        <v>21762</v>
      </c>
    </row>
    <row r="622" spans="1:7" x14ac:dyDescent="0.3">
      <c r="E622" t="s">
        <v>108</v>
      </c>
      <c r="F622" t="s">
        <v>158</v>
      </c>
      <c r="G622" t="s">
        <v>159</v>
      </c>
    </row>
    <row r="623" spans="1:7" x14ac:dyDescent="0.3">
      <c r="B623" t="s">
        <v>906</v>
      </c>
      <c r="F623" s="34"/>
    </row>
    <row r="624" spans="1:7" x14ac:dyDescent="0.3">
      <c r="A624" s="7" t="s">
        <v>61</v>
      </c>
      <c r="D624" t="s">
        <v>139</v>
      </c>
      <c r="E624" s="16"/>
      <c r="F624" s="11">
        <f>'Attributes Back Calcs'!G16</f>
        <v>899.5</v>
      </c>
    </row>
    <row r="625" spans="1:11" x14ac:dyDescent="0.3">
      <c r="A625" t="s">
        <v>203</v>
      </c>
      <c r="B625" t="s">
        <v>604</v>
      </c>
      <c r="C625" s="13"/>
      <c r="D625" s="37"/>
      <c r="E625" s="13"/>
      <c r="F625" s="13">
        <f>$C625+($D625*F$588)</f>
        <v>0</v>
      </c>
      <c r="G625" s="13">
        <f>F625*(1+(IF('Attributes Inputs and Outputs'!$O$8=Inputs!$C$44,Inputs!$C$45,IF('Attributes Inputs and Outputs'!$O$8=Inputs!$D$44,Inputs!$D$45,IF('Attributes Inputs and Outputs'!$O$8=Inputs!$E$44,Inputs!$E$45,IF('Attributes Inputs and Outputs'!$O$8=Inputs!$F$44,Inputs!$F$45,Inputs!$G$45))))))</f>
        <v>0</v>
      </c>
    </row>
    <row r="626" spans="1:11" ht="15" thickBot="1" x14ac:dyDescent="0.35">
      <c r="A626" t="s">
        <v>202</v>
      </c>
      <c r="B626" t="s">
        <v>610</v>
      </c>
      <c r="C626" s="13"/>
      <c r="D626" s="9">
        <f>1.5+Inputs!C63</f>
        <v>2</v>
      </c>
      <c r="E626" s="13"/>
      <c r="F626" s="13">
        <f>$C626+($D626*F$624)</f>
        <v>1799</v>
      </c>
      <c r="G626" s="13">
        <f>F626</f>
        <v>1799</v>
      </c>
    </row>
    <row r="627" spans="1:11" x14ac:dyDescent="0.3">
      <c r="A627" t="s">
        <v>601</v>
      </c>
      <c r="B627" t="s">
        <v>187</v>
      </c>
      <c r="C627" s="13"/>
      <c r="D627" s="14"/>
      <c r="E627" s="13"/>
      <c r="F627" s="13">
        <f>$C627+($D627*F$588)</f>
        <v>0</v>
      </c>
      <c r="G627" s="13">
        <f>F627</f>
        <v>0</v>
      </c>
      <c r="I627" s="70" t="s">
        <v>1018</v>
      </c>
      <c r="J627" s="71"/>
      <c r="K627" s="72"/>
    </row>
    <row r="628" spans="1:11" x14ac:dyDescent="0.3">
      <c r="A628" t="s">
        <v>602</v>
      </c>
      <c r="B628" t="s">
        <v>187</v>
      </c>
      <c r="C628" s="13"/>
      <c r="D628" s="37"/>
      <c r="E628" s="13"/>
      <c r="F628" s="13">
        <f>$C628+($D628*F$588)</f>
        <v>0</v>
      </c>
      <c r="G628" s="13">
        <f>F628*(1+(IF('Attributes Inputs and Outputs'!$O$8=Inputs!$C$44,Inputs!$C$45,IF('Attributes Inputs and Outputs'!$O$8=Inputs!$D$44,Inputs!$D$45,IF('Attributes Inputs and Outputs'!$O$8=Inputs!$E$44,Inputs!$E$45,IF('Attributes Inputs and Outputs'!$O$8=Inputs!$F$44,Inputs!$F$45,Inputs!$G$45))))))</f>
        <v>0</v>
      </c>
      <c r="I628" s="73" t="s">
        <v>988</v>
      </c>
      <c r="J628" t="s">
        <v>992</v>
      </c>
      <c r="K628" s="74" t="s">
        <v>994</v>
      </c>
    </row>
    <row r="629" spans="1:11" x14ac:dyDescent="0.3">
      <c r="A629" t="s">
        <v>603</v>
      </c>
      <c r="B629" t="s">
        <v>187</v>
      </c>
      <c r="C629" s="13"/>
      <c r="D629" s="37"/>
      <c r="E629" s="13"/>
      <c r="F629" s="13"/>
      <c r="G629" s="13"/>
      <c r="I629" s="73" t="s">
        <v>61</v>
      </c>
      <c r="J629" s="18">
        <f>4+IF(F624&gt;1000, (F624-1000)/1000, 0)</f>
        <v>4</v>
      </c>
      <c r="K629" s="18">
        <f>J629</f>
        <v>4</v>
      </c>
    </row>
    <row r="630" spans="1:11" x14ac:dyDescent="0.3">
      <c r="D630" s="39" t="s">
        <v>127</v>
      </c>
      <c r="E630" s="40">
        <f>SUM(E625:E629)</f>
        <v>0</v>
      </c>
      <c r="F630" s="40">
        <f>SUM(F625:F629)</f>
        <v>1799</v>
      </c>
      <c r="G630" s="40">
        <f>SUM(G625:G629)</f>
        <v>1799</v>
      </c>
      <c r="I630" s="73" t="s">
        <v>63</v>
      </c>
      <c r="J630" s="18">
        <f>J629</f>
        <v>4</v>
      </c>
      <c r="K630" s="18">
        <f>J630</f>
        <v>4</v>
      </c>
    </row>
    <row r="631" spans="1:11" x14ac:dyDescent="0.3">
      <c r="A631" s="7" t="s">
        <v>62</v>
      </c>
      <c r="C631" s="13"/>
      <c r="D631" s="13"/>
      <c r="E631" s="13"/>
      <c r="F631" s="13"/>
      <c r="I631" s="73" t="s">
        <v>64</v>
      </c>
      <c r="J631" s="18">
        <f>J630</f>
        <v>4</v>
      </c>
      <c r="K631" s="18">
        <f>J631</f>
        <v>4</v>
      </c>
    </row>
    <row r="632" spans="1:11" x14ac:dyDescent="0.3">
      <c r="A632" t="s">
        <v>203</v>
      </c>
      <c r="B632" t="s">
        <v>604</v>
      </c>
      <c r="C632" s="13"/>
      <c r="D632" s="37"/>
      <c r="E632" s="13"/>
      <c r="F632" s="13">
        <f>$C632+($D632*F$588)</f>
        <v>0</v>
      </c>
      <c r="G632" s="13">
        <f>F632*(1+(IF('Attributes Inputs and Outputs'!$O$8=Inputs!$C$44,Inputs!$C$45,IF('Attributes Inputs and Outputs'!$O$8=Inputs!$D$44,Inputs!$D$45,IF('Attributes Inputs and Outputs'!$O$8=Inputs!$E$44,Inputs!$E$45,IF('Attributes Inputs and Outputs'!$O$8=Inputs!$F$44,Inputs!$F$45,Inputs!$G$45))))))</f>
        <v>0</v>
      </c>
      <c r="I632" s="73" t="s">
        <v>62</v>
      </c>
      <c r="J632" s="18">
        <f>J631</f>
        <v>4</v>
      </c>
      <c r="K632" s="18">
        <f>J632</f>
        <v>4</v>
      </c>
    </row>
    <row r="633" spans="1:11" x14ac:dyDescent="0.3">
      <c r="A633" t="s">
        <v>202</v>
      </c>
      <c r="B633" t="s">
        <v>611</v>
      </c>
      <c r="C633" s="13"/>
      <c r="D633" s="14">
        <f>1.5+IF('Packages Inputs and Outputs'!$E$57='Defaults and Ranges'!$B$53, Inputs!$C$63, IF('Packages Inputs and Outputs'!$E$57='Defaults and Ranges'!$B$54, Inputs!$D$63,IF('Packages Inputs and Outputs'!$E$57='Defaults and Ranges'!$B$55, Inputs!$E$63,Inputs!$F$63)))</f>
        <v>2.25</v>
      </c>
      <c r="E633" s="13"/>
      <c r="F633" s="13">
        <f>$C633+($D633*F$624)</f>
        <v>2023.875</v>
      </c>
      <c r="G633" s="13">
        <f>F633</f>
        <v>2023.875</v>
      </c>
      <c r="I633" s="73"/>
      <c r="K633" s="74"/>
    </row>
    <row r="634" spans="1:11" ht="15" thickBot="1" x14ac:dyDescent="0.35">
      <c r="A634" t="s">
        <v>601</v>
      </c>
      <c r="B634" t="s">
        <v>187</v>
      </c>
      <c r="C634" s="13"/>
      <c r="D634" s="14"/>
      <c r="E634" s="13"/>
      <c r="F634" s="13">
        <f>$C634+($D634*F$588)</f>
        <v>0</v>
      </c>
      <c r="G634" s="13">
        <f>F634</f>
        <v>0</v>
      </c>
      <c r="I634" s="75"/>
      <c r="J634" s="76" t="s">
        <v>990</v>
      </c>
      <c r="K634" s="83">
        <f xml:space="preserve"> IF('Attributes Inputs and Outputs'!E8='Defaults and Ranges'!G25, LOOKUP('Packages Inputs and Outputs'!E30, I629:I632, K629:K632), 0)</f>
        <v>4</v>
      </c>
    </row>
    <row r="635" spans="1:11" x14ac:dyDescent="0.3">
      <c r="A635" t="s">
        <v>602</v>
      </c>
      <c r="B635" t="s">
        <v>187</v>
      </c>
      <c r="C635" s="13"/>
      <c r="D635" s="37"/>
      <c r="E635" s="13"/>
      <c r="F635" s="13">
        <f>$C635+($D635*F$588)</f>
        <v>0</v>
      </c>
      <c r="G635" s="13">
        <f>F635*(1+(IF('Attributes Inputs and Outputs'!$O$8=Inputs!$C$44,Inputs!$C$45,IF('Attributes Inputs and Outputs'!$O$8=Inputs!$D$44,Inputs!$D$45,IF('Attributes Inputs and Outputs'!$O$8=Inputs!$E$44,Inputs!$E$45,IF('Attributes Inputs and Outputs'!$O$8=Inputs!$F$44,Inputs!$F$45,Inputs!$G$45))))))</f>
        <v>0</v>
      </c>
    </row>
    <row r="636" spans="1:11" x14ac:dyDescent="0.3">
      <c r="A636" t="s">
        <v>603</v>
      </c>
      <c r="B636" t="s">
        <v>613</v>
      </c>
      <c r="C636" s="13"/>
      <c r="D636" s="14">
        <v>0.75</v>
      </c>
      <c r="E636" s="13"/>
      <c r="F636" s="13">
        <f>$C636+($D636*F$624)</f>
        <v>674.625</v>
      </c>
      <c r="G636" s="13">
        <f>F636</f>
        <v>674.625</v>
      </c>
    </row>
    <row r="637" spans="1:11" x14ac:dyDescent="0.3">
      <c r="D637" s="39" t="s">
        <v>130</v>
      </c>
      <c r="E637" s="40">
        <f>SUM(E632:E636)</f>
        <v>0</v>
      </c>
      <c r="F637" s="40">
        <f>SUM(F632:F636)</f>
        <v>2698.5</v>
      </c>
      <c r="G637" s="40">
        <f>SUM(G632:G636)</f>
        <v>2698.5</v>
      </c>
    </row>
    <row r="638" spans="1:11" x14ac:dyDescent="0.3">
      <c r="A638" s="7" t="s">
        <v>63</v>
      </c>
      <c r="F638" s="13"/>
    </row>
    <row r="639" spans="1:11" x14ac:dyDescent="0.3">
      <c r="A639" t="s">
        <v>203</v>
      </c>
      <c r="B639" t="s">
        <v>604</v>
      </c>
      <c r="C639" s="13"/>
      <c r="D639" s="37"/>
      <c r="E639" s="13"/>
      <c r="F639" s="13">
        <f>$C639+($D639*F$588)</f>
        <v>0</v>
      </c>
      <c r="G639" s="13">
        <f>F639*(1+(IF('Attributes Inputs and Outputs'!$O$8=Inputs!$C$44,Inputs!$C$45,IF('Attributes Inputs and Outputs'!$O$8=Inputs!$D$44,Inputs!$D$45,IF('Attributes Inputs and Outputs'!$O$8=Inputs!$E$44,Inputs!$E$45,IF('Attributes Inputs and Outputs'!$O$8=Inputs!$F$44,Inputs!$F$45,Inputs!$G$45))))))</f>
        <v>0</v>
      </c>
    </row>
    <row r="640" spans="1:11" x14ac:dyDescent="0.3">
      <c r="A640" t="s">
        <v>202</v>
      </c>
      <c r="B640" t="s">
        <v>605</v>
      </c>
      <c r="C640" s="13"/>
      <c r="D640" s="14">
        <f>2.25+IF('Packages Inputs and Outputs'!$E$57='Defaults and Ranges'!$B$53, Inputs!$C$63, IF('Packages Inputs and Outputs'!$E$57='Defaults and Ranges'!$B$54, Inputs!$D$63,IF('Packages Inputs and Outputs'!$E$57='Defaults and Ranges'!$B$55, Inputs!$E$63,Inputs!$F$63)))</f>
        <v>3</v>
      </c>
      <c r="E640" s="13"/>
      <c r="F640" s="13">
        <f>$C640+($D640*F$624)</f>
        <v>2698.5</v>
      </c>
      <c r="G640" s="13">
        <f>F640</f>
        <v>2698.5</v>
      </c>
    </row>
    <row r="641" spans="1:7" x14ac:dyDescent="0.3">
      <c r="A641" t="s">
        <v>601</v>
      </c>
      <c r="B641" t="s">
        <v>614</v>
      </c>
      <c r="C641" s="13">
        <f>700+700</f>
        <v>1400</v>
      </c>
      <c r="D641" s="14"/>
      <c r="E641" s="13"/>
      <c r="F641" s="13">
        <f>$C641+($D641*F$588)</f>
        <v>1400</v>
      </c>
      <c r="G641" s="13">
        <f>F641</f>
        <v>1400</v>
      </c>
    </row>
    <row r="642" spans="1:7" x14ac:dyDescent="0.3">
      <c r="A642" t="s">
        <v>602</v>
      </c>
      <c r="B642" t="s">
        <v>187</v>
      </c>
      <c r="C642" s="13"/>
      <c r="D642" s="37"/>
      <c r="E642" s="13"/>
      <c r="F642" s="13">
        <f>$C642+($D642*F$588)</f>
        <v>0</v>
      </c>
      <c r="G642" s="13">
        <f>F642*(1+(IF('Attributes Inputs and Outputs'!$O$8=Inputs!$C$44,Inputs!$C$45,IF('Attributes Inputs and Outputs'!$O$8=Inputs!$D$44,Inputs!$D$45,IF('Attributes Inputs and Outputs'!$O$8=Inputs!$E$44,Inputs!$E$45,IF('Attributes Inputs and Outputs'!$O$8=Inputs!$F$44,Inputs!$F$45,Inputs!$G$45))))))</f>
        <v>0</v>
      </c>
    </row>
    <row r="643" spans="1:7" x14ac:dyDescent="0.3">
      <c r="A643" t="s">
        <v>603</v>
      </c>
      <c r="B643" t="s">
        <v>606</v>
      </c>
      <c r="C643" s="13"/>
      <c r="D643" s="14">
        <f>0.75+IF(AND('Attributes Inputs and Outputs'!J8=2,'Packages Inputs and Outputs'!E56='Defaults and Ranges'!B53), 0.75, 0.2)</f>
        <v>0.95</v>
      </c>
      <c r="E643" s="13"/>
      <c r="F643" s="13">
        <f>$C643+($D643*F$624)</f>
        <v>854.52499999999998</v>
      </c>
      <c r="G643" s="13">
        <f>F643</f>
        <v>854.52499999999998</v>
      </c>
    </row>
    <row r="644" spans="1:7" x14ac:dyDescent="0.3">
      <c r="D644" s="39" t="s">
        <v>133</v>
      </c>
      <c r="E644" s="40">
        <f>SUM(E639:E643)</f>
        <v>0</v>
      </c>
      <c r="F644" s="40">
        <f>SUM(F639:F643)</f>
        <v>4953.0249999999996</v>
      </c>
      <c r="G644" s="40">
        <f>SUM(G639:G643)</f>
        <v>4953.0249999999996</v>
      </c>
    </row>
    <row r="645" spans="1:7" x14ac:dyDescent="0.3">
      <c r="A645" s="7" t="s">
        <v>64</v>
      </c>
      <c r="B645" s="13"/>
      <c r="F645" s="13"/>
      <c r="G645" t="s">
        <v>194</v>
      </c>
    </row>
    <row r="646" spans="1:7" x14ac:dyDescent="0.3">
      <c r="A646" t="s">
        <v>203</v>
      </c>
      <c r="B646" t="s">
        <v>604</v>
      </c>
      <c r="C646" s="13"/>
      <c r="D646" s="37"/>
      <c r="E646" s="13"/>
      <c r="F646" s="13">
        <f>$C646+($D646*F$588)</f>
        <v>0</v>
      </c>
      <c r="G646" s="13">
        <f>F646*(1+(IF('Attributes Inputs and Outputs'!$O$8=Inputs!$C$44,Inputs!$C$45,IF('Attributes Inputs and Outputs'!$O$8=Inputs!$D$44,Inputs!$D$45,IF('Attributes Inputs and Outputs'!$O$8=Inputs!$E$44,Inputs!$E$45,IF('Attributes Inputs and Outputs'!$O$8=Inputs!$F$44,Inputs!$F$45,Inputs!$G$45))))))</f>
        <v>0</v>
      </c>
    </row>
    <row r="647" spans="1:7" x14ac:dyDescent="0.3">
      <c r="A647" t="s">
        <v>202</v>
      </c>
      <c r="B647" t="s">
        <v>605</v>
      </c>
      <c r="C647" s="13"/>
      <c r="D647" s="14">
        <f>2.25+IF('Packages Inputs and Outputs'!$E$57='Defaults and Ranges'!$B$53, Inputs!$C$63, IF('Packages Inputs and Outputs'!$E$57='Defaults and Ranges'!$B$54, Inputs!$D$63,IF('Packages Inputs and Outputs'!$E$57='Defaults and Ranges'!$B$55, Inputs!$E$63,Inputs!$F$63)))</f>
        <v>3</v>
      </c>
      <c r="E647" s="13"/>
      <c r="F647" s="13">
        <f>$C647+($D647*F$624)</f>
        <v>2698.5</v>
      </c>
      <c r="G647" s="13">
        <f>F647</f>
        <v>2698.5</v>
      </c>
    </row>
    <row r="648" spans="1:7" x14ac:dyDescent="0.3">
      <c r="A648" t="s">
        <v>601</v>
      </c>
      <c r="B648" t="s">
        <v>607</v>
      </c>
      <c r="C648" s="13">
        <f>700+700+200</f>
        <v>1600</v>
      </c>
      <c r="D648" s="14"/>
      <c r="E648" s="13"/>
      <c r="F648" s="13">
        <f>$C648+($D648*F$588)</f>
        <v>1600</v>
      </c>
      <c r="G648" s="13">
        <f>F648</f>
        <v>1600</v>
      </c>
    </row>
    <row r="649" spans="1:7" x14ac:dyDescent="0.3">
      <c r="A649" t="s">
        <v>602</v>
      </c>
      <c r="B649" t="s">
        <v>608</v>
      </c>
      <c r="C649" s="13">
        <f>700+300+300</f>
        <v>1300</v>
      </c>
      <c r="D649" s="37"/>
      <c r="E649" s="13"/>
      <c r="F649" s="13">
        <f>$C649+($D649*F$588)</f>
        <v>1300</v>
      </c>
      <c r="G649" s="13">
        <f>F649*(1+(IF('Attributes Inputs and Outputs'!$O$8=Inputs!$C$44,Inputs!$C$45,IF('Attributes Inputs and Outputs'!$O$8=Inputs!$D$44,Inputs!$D$45,IF('Attributes Inputs and Outputs'!$O$8=Inputs!$E$44,Inputs!$E$45,IF('Attributes Inputs and Outputs'!$O$8=Inputs!$F$44,Inputs!$F$45,Inputs!$G$45))))))</f>
        <v>1300</v>
      </c>
    </row>
    <row r="650" spans="1:7" x14ac:dyDescent="0.3">
      <c r="A650" t="s">
        <v>603</v>
      </c>
      <c r="B650" t="s">
        <v>609</v>
      </c>
      <c r="C650" s="13">
        <v>300</v>
      </c>
      <c r="D650" s="14">
        <f>0.75+0.75</f>
        <v>1.5</v>
      </c>
      <c r="E650" s="13"/>
      <c r="F650" s="13">
        <f>$C650+($D650*F$624)</f>
        <v>1649.25</v>
      </c>
      <c r="G650" s="13">
        <f>F650</f>
        <v>1649.25</v>
      </c>
    </row>
    <row r="651" spans="1:7" x14ac:dyDescent="0.3">
      <c r="D651" s="39" t="s">
        <v>137</v>
      </c>
      <c r="E651" s="40">
        <f>SUM(E646:E650)</f>
        <v>0</v>
      </c>
      <c r="F651" s="40">
        <f>SUM(F646:F650)</f>
        <v>7247.75</v>
      </c>
      <c r="G651" s="40">
        <f>SUM(G646:G650)</f>
        <v>7247.75</v>
      </c>
    </row>
    <row r="654" spans="1:7" x14ac:dyDescent="0.3">
      <c r="F654" t="s">
        <v>56</v>
      </c>
      <c r="G654" t="s">
        <v>632</v>
      </c>
    </row>
    <row r="655" spans="1:7" x14ac:dyDescent="0.3">
      <c r="B655" t="s">
        <v>88</v>
      </c>
      <c r="F655" s="34"/>
    </row>
    <row r="656" spans="1:7" x14ac:dyDescent="0.3">
      <c r="A656" s="7" t="s">
        <v>61</v>
      </c>
      <c r="D656" t="s">
        <v>622</v>
      </c>
      <c r="E656" s="16"/>
      <c r="F656" s="11"/>
    </row>
    <row r="657" spans="1:8" x14ac:dyDescent="0.3">
      <c r="A657" t="s">
        <v>616</v>
      </c>
      <c r="B657" t="s">
        <v>623</v>
      </c>
      <c r="C657" s="13">
        <v>1000</v>
      </c>
      <c r="D657" s="16">
        <f>IF('Attributes Inputs and Outputs'!$E$8='Defaults and Ranges'!$G$24, 0, 1)</f>
        <v>1</v>
      </c>
      <c r="E657" s="13"/>
      <c r="F657" s="13">
        <f t="shared" ref="F657:F662" si="19">C657*D657</f>
        <v>1000</v>
      </c>
      <c r="G657" s="13">
        <f>F657*('Attributes Inputs and Outputs'!$K$10/'Defaults and Ranges'!$N$6)</f>
        <v>1000</v>
      </c>
      <c r="H657" s="14"/>
    </row>
    <row r="658" spans="1:8" x14ac:dyDescent="0.3">
      <c r="A658" t="s">
        <v>617</v>
      </c>
      <c r="B658" t="s">
        <v>624</v>
      </c>
      <c r="C658" s="13">
        <v>350</v>
      </c>
      <c r="D658" s="16">
        <f>IF('Attributes Inputs and Outputs'!$E$8='Defaults and Ranges'!$G$24, 0, 1)</f>
        <v>1</v>
      </c>
      <c r="E658" s="13"/>
      <c r="F658" s="13">
        <f t="shared" si="19"/>
        <v>350</v>
      </c>
      <c r="G658" s="13">
        <f>F658*('Attributes Inputs and Outputs'!$K$10/'Defaults and Ranges'!$N$6)</f>
        <v>350</v>
      </c>
      <c r="H658" s="14"/>
    </row>
    <row r="659" spans="1:8" x14ac:dyDescent="0.3">
      <c r="A659" t="s">
        <v>618</v>
      </c>
      <c r="B659" t="s">
        <v>623</v>
      </c>
      <c r="C659" s="13">
        <v>1000</v>
      </c>
      <c r="D659" s="16">
        <f>IF('Attributes Inputs and Outputs'!$J$8=2, 1, 0)</f>
        <v>1</v>
      </c>
      <c r="E659" s="13"/>
      <c r="F659" s="13">
        <f t="shared" si="19"/>
        <v>1000</v>
      </c>
      <c r="G659" s="13">
        <f>F659*('Attributes Inputs and Outputs'!$L$8/'Defaults and Ranges'!$O$6)</f>
        <v>1000</v>
      </c>
      <c r="H659" s="14"/>
    </row>
    <row r="660" spans="1:8" x14ac:dyDescent="0.3">
      <c r="A660" t="s">
        <v>619</v>
      </c>
      <c r="B660" t="s">
        <v>624</v>
      </c>
      <c r="C660" s="13">
        <v>350</v>
      </c>
      <c r="D660" s="16">
        <f>IF('Attributes Inputs and Outputs'!$J$8=2, 1, 0)</f>
        <v>1</v>
      </c>
      <c r="E660" s="13"/>
      <c r="F660" s="13">
        <f t="shared" si="19"/>
        <v>350</v>
      </c>
      <c r="G660" s="13">
        <f>F660*('Attributes Inputs and Outputs'!$L$8/'Defaults and Ranges'!$O$6)</f>
        <v>350</v>
      </c>
      <c r="H660" s="14"/>
    </row>
    <row r="661" spans="1:8" x14ac:dyDescent="0.3">
      <c r="A661" t="s">
        <v>621</v>
      </c>
      <c r="B661" t="s">
        <v>623</v>
      </c>
      <c r="C661" s="13">
        <v>1000</v>
      </c>
      <c r="D661" s="16">
        <f>IF('Attributes Inputs and Outputs'!$H$17='Defaults and Ranges'!$K$33, 1, 0)</f>
        <v>0</v>
      </c>
      <c r="E661" s="13"/>
      <c r="F661" s="13">
        <f t="shared" si="19"/>
        <v>0</v>
      </c>
      <c r="G661" s="13">
        <f>F661*('Attributes Inputs and Outputs'!$M$10/'Defaults and Ranges'!$P$6)</f>
        <v>0</v>
      </c>
      <c r="H661" s="14"/>
    </row>
    <row r="662" spans="1:8" x14ac:dyDescent="0.3">
      <c r="A662" t="s">
        <v>620</v>
      </c>
      <c r="B662" t="s">
        <v>624</v>
      </c>
      <c r="C662" s="13">
        <v>350</v>
      </c>
      <c r="D662" s="16">
        <f>IF('Attributes Inputs and Outputs'!$H$17='Defaults and Ranges'!$K$33, 1, 0)</f>
        <v>0</v>
      </c>
      <c r="E662" s="13"/>
      <c r="F662" s="13">
        <f t="shared" si="19"/>
        <v>0</v>
      </c>
      <c r="G662" s="13">
        <f>F662*('Attributes Inputs and Outputs'!$M$10/'Defaults and Ranges'!$P$6)</f>
        <v>0</v>
      </c>
      <c r="H662" s="14"/>
    </row>
    <row r="663" spans="1:8" x14ac:dyDescent="0.3">
      <c r="C663" s="13"/>
      <c r="D663" s="39" t="s">
        <v>127</v>
      </c>
      <c r="E663" s="40">
        <f>SUM(E657:E662)</f>
        <v>0</v>
      </c>
      <c r="F663" s="40">
        <f>SUM(F657:F662)</f>
        <v>2700</v>
      </c>
      <c r="G663" s="40">
        <f>SUM(G657:G662)</f>
        <v>2700</v>
      </c>
    </row>
    <row r="664" spans="1:8" x14ac:dyDescent="0.3">
      <c r="A664" s="7" t="s">
        <v>62</v>
      </c>
      <c r="C664" s="13"/>
      <c r="D664" s="13"/>
      <c r="E664" s="13"/>
      <c r="F664" s="13"/>
    </row>
    <row r="665" spans="1:8" x14ac:dyDescent="0.3">
      <c r="A665" t="s">
        <v>616</v>
      </c>
      <c r="B665" t="s">
        <v>627</v>
      </c>
      <c r="C665" s="13">
        <v>1500</v>
      </c>
      <c r="D665" s="16">
        <f>IF('Attributes Inputs and Outputs'!$E$8='Defaults and Ranges'!$G$24, 0, 1)</f>
        <v>1</v>
      </c>
      <c r="E665" s="13"/>
      <c r="F665" s="13">
        <f t="shared" ref="F665:F670" si="20">C665*D665</f>
        <v>1500</v>
      </c>
      <c r="G665" s="13">
        <f>F665*('Attributes Inputs and Outputs'!$K$10/'Defaults and Ranges'!$N$6)</f>
        <v>1500</v>
      </c>
    </row>
    <row r="666" spans="1:8" x14ac:dyDescent="0.3">
      <c r="A666" t="s">
        <v>617</v>
      </c>
      <c r="B666" t="s">
        <v>625</v>
      </c>
      <c r="C666" s="13">
        <v>1500</v>
      </c>
      <c r="D666" s="16">
        <f>IF('Attributes Inputs and Outputs'!$E$8='Defaults and Ranges'!$G$24, 0, 1)</f>
        <v>1</v>
      </c>
      <c r="E666" s="13"/>
      <c r="F666" s="13">
        <f t="shared" si="20"/>
        <v>1500</v>
      </c>
      <c r="G666" s="13">
        <f>F666*('Attributes Inputs and Outputs'!$K$10/'Defaults and Ranges'!$N$6)</f>
        <v>1500</v>
      </c>
    </row>
    <row r="667" spans="1:8" x14ac:dyDescent="0.3">
      <c r="A667" t="s">
        <v>618</v>
      </c>
      <c r="B667" t="s">
        <v>628</v>
      </c>
      <c r="C667" s="13">
        <v>3000</v>
      </c>
      <c r="D667" s="16">
        <f>IF('Attributes Inputs and Outputs'!$J$8=2, 1, 0)</f>
        <v>1</v>
      </c>
      <c r="E667" s="13"/>
      <c r="F667" s="13">
        <f t="shared" si="20"/>
        <v>3000</v>
      </c>
      <c r="G667" s="13">
        <f>F667*('Attributes Inputs and Outputs'!$L$8/'Defaults and Ranges'!$O$6)</f>
        <v>3000</v>
      </c>
    </row>
    <row r="668" spans="1:8" x14ac:dyDescent="0.3">
      <c r="A668" t="s">
        <v>619</v>
      </c>
      <c r="B668" t="s">
        <v>625</v>
      </c>
      <c r="C668" s="13">
        <v>1500</v>
      </c>
      <c r="D668" s="16">
        <f>IF('Attributes Inputs and Outputs'!$J$8=2, 1, 0)</f>
        <v>1</v>
      </c>
      <c r="E668" s="13"/>
      <c r="F668" s="13">
        <f t="shared" si="20"/>
        <v>1500</v>
      </c>
      <c r="G668" s="13">
        <f>F668*('Attributes Inputs and Outputs'!$L$8/'Defaults and Ranges'!$O$6)</f>
        <v>1500</v>
      </c>
    </row>
    <row r="669" spans="1:8" x14ac:dyDescent="0.3">
      <c r="A669" t="s">
        <v>621</v>
      </c>
      <c r="B669" t="s">
        <v>627</v>
      </c>
      <c r="C669" s="13">
        <v>1500</v>
      </c>
      <c r="D669" s="16">
        <f>IF('Attributes Inputs and Outputs'!$H$17='Defaults and Ranges'!$K$33, 1, 0)</f>
        <v>0</v>
      </c>
      <c r="E669" s="13"/>
      <c r="F669" s="13">
        <f t="shared" si="20"/>
        <v>0</v>
      </c>
      <c r="G669" s="13">
        <f>F669*('Attributes Inputs and Outputs'!$M$10/'Defaults and Ranges'!$P$6)</f>
        <v>0</v>
      </c>
    </row>
    <row r="670" spans="1:8" x14ac:dyDescent="0.3">
      <c r="A670" t="s">
        <v>620</v>
      </c>
      <c r="B670" t="s">
        <v>625</v>
      </c>
      <c r="C670" s="13">
        <v>750</v>
      </c>
      <c r="D670" s="16">
        <f>IF('Attributes Inputs and Outputs'!$H$17='Defaults and Ranges'!$K$33, 1, 0)</f>
        <v>0</v>
      </c>
      <c r="E670" s="13"/>
      <c r="F670" s="13">
        <f t="shared" si="20"/>
        <v>0</v>
      </c>
      <c r="G670" s="13">
        <f>F670*('Attributes Inputs and Outputs'!$M$10/'Defaults and Ranges'!$P$6)</f>
        <v>0</v>
      </c>
    </row>
    <row r="671" spans="1:8" x14ac:dyDescent="0.3">
      <c r="C671" s="13"/>
      <c r="D671" s="39" t="s">
        <v>130</v>
      </c>
      <c r="E671" s="40">
        <f>SUM(E665:E670)</f>
        <v>0</v>
      </c>
      <c r="F671" s="40">
        <f>SUM(F665:F670)</f>
        <v>7500</v>
      </c>
      <c r="G671" s="40">
        <f>SUM(G665:G670)</f>
        <v>7500</v>
      </c>
    </row>
    <row r="672" spans="1:8" x14ac:dyDescent="0.3">
      <c r="A672" s="7" t="s">
        <v>63</v>
      </c>
      <c r="C672" s="13"/>
      <c r="F672" s="13"/>
    </row>
    <row r="673" spans="1:7" x14ac:dyDescent="0.3">
      <c r="A673" t="s">
        <v>616</v>
      </c>
      <c r="B673" t="s">
        <v>1351</v>
      </c>
      <c r="C673" s="13">
        <v>7000</v>
      </c>
      <c r="D673" s="16">
        <f>IF('Attributes Inputs and Outputs'!$E$8='Defaults and Ranges'!$G$24, 0, 1)</f>
        <v>1</v>
      </c>
      <c r="E673" s="13"/>
      <c r="F673" s="13">
        <f t="shared" ref="F673:F678" si="21">C673*D673</f>
        <v>7000</v>
      </c>
      <c r="G673" s="13">
        <f>F673*('Attributes Inputs and Outputs'!$K$10/'Defaults and Ranges'!$N$6)</f>
        <v>7000</v>
      </c>
    </row>
    <row r="674" spans="1:7" x14ac:dyDescent="0.3">
      <c r="A674" t="s">
        <v>617</v>
      </c>
      <c r="B674" t="s">
        <v>626</v>
      </c>
      <c r="C674" s="13">
        <v>14000</v>
      </c>
      <c r="D674" s="16">
        <f>IF('Attributes Inputs and Outputs'!$E$8='Defaults and Ranges'!$G$24, 0, 1)</f>
        <v>1</v>
      </c>
      <c r="E674" s="13"/>
      <c r="F674" s="13">
        <f t="shared" si="21"/>
        <v>14000</v>
      </c>
      <c r="G674" s="13">
        <f>F674*('Attributes Inputs and Outputs'!$K$10/'Defaults and Ranges'!$N$6)</f>
        <v>14000</v>
      </c>
    </row>
    <row r="675" spans="1:7" x14ac:dyDescent="0.3">
      <c r="A675" t="s">
        <v>618</v>
      </c>
      <c r="B675" t="s">
        <v>1415</v>
      </c>
      <c r="C675" s="13">
        <v>7000</v>
      </c>
      <c r="D675" s="16">
        <f>IF('Attributes Inputs and Outputs'!$J$8=2, 1, 0)</f>
        <v>1</v>
      </c>
      <c r="E675" s="13"/>
      <c r="F675" s="13">
        <f t="shared" si="21"/>
        <v>7000</v>
      </c>
      <c r="G675" s="13">
        <f>F675*('Attributes Inputs and Outputs'!$L$8/'Defaults and Ranges'!$O$6)</f>
        <v>7000</v>
      </c>
    </row>
    <row r="676" spans="1:7" x14ac:dyDescent="0.3">
      <c r="A676" t="s">
        <v>619</v>
      </c>
      <c r="B676" t="s">
        <v>626</v>
      </c>
      <c r="C676" s="13">
        <v>14000</v>
      </c>
      <c r="D676" s="16">
        <f>IF('Attributes Inputs and Outputs'!$J$8=2, 1, 0)</f>
        <v>1</v>
      </c>
      <c r="E676" s="13"/>
      <c r="F676" s="13">
        <f t="shared" si="21"/>
        <v>14000</v>
      </c>
      <c r="G676" s="13">
        <f>F676*('Attributes Inputs and Outputs'!$L$8/'Defaults and Ranges'!$O$6)</f>
        <v>14000</v>
      </c>
    </row>
    <row r="677" spans="1:7" x14ac:dyDescent="0.3">
      <c r="A677" t="s">
        <v>621</v>
      </c>
      <c r="B677" t="s">
        <v>1415</v>
      </c>
      <c r="C677" s="13">
        <v>7000</v>
      </c>
      <c r="D677" s="16">
        <f>IF('Attributes Inputs and Outputs'!$H$17='Defaults and Ranges'!$K$33, 1, 0)</f>
        <v>0</v>
      </c>
      <c r="E677" s="13"/>
      <c r="F677" s="13">
        <f t="shared" si="21"/>
        <v>0</v>
      </c>
      <c r="G677" s="13">
        <f>F677*('Attributes Inputs and Outputs'!$M$10/'Defaults and Ranges'!$P$6)</f>
        <v>0</v>
      </c>
    </row>
    <row r="678" spans="1:7" x14ac:dyDescent="0.3">
      <c r="A678" t="s">
        <v>620</v>
      </c>
      <c r="B678" t="s">
        <v>626</v>
      </c>
      <c r="C678" s="13">
        <v>14000</v>
      </c>
      <c r="D678" s="16">
        <f>IF('Attributes Inputs and Outputs'!$H$17='Defaults and Ranges'!$K$33, 1, 0)</f>
        <v>0</v>
      </c>
      <c r="E678" s="13"/>
      <c r="F678" s="13">
        <f t="shared" si="21"/>
        <v>0</v>
      </c>
      <c r="G678" s="13">
        <f>F678*('Attributes Inputs and Outputs'!$M$10/'Defaults and Ranges'!$P$6)</f>
        <v>0</v>
      </c>
    </row>
    <row r="679" spans="1:7" x14ac:dyDescent="0.3">
      <c r="C679" s="13"/>
      <c r="D679" s="39" t="s">
        <v>133</v>
      </c>
      <c r="E679" s="40">
        <f>SUM(E673:E678)</f>
        <v>0</v>
      </c>
      <c r="F679" s="40">
        <f>SUM(F673:F678)</f>
        <v>42000</v>
      </c>
      <c r="G679" s="40">
        <f>SUM(G673:G678)</f>
        <v>42000</v>
      </c>
    </row>
    <row r="680" spans="1:7" x14ac:dyDescent="0.3">
      <c r="A680" s="7" t="s">
        <v>64</v>
      </c>
      <c r="B680" s="13"/>
      <c r="C680" s="13"/>
      <c r="F680" s="13"/>
    </row>
    <row r="681" spans="1:7" x14ac:dyDescent="0.3">
      <c r="A681" t="s">
        <v>616</v>
      </c>
      <c r="B681" t="s">
        <v>630</v>
      </c>
      <c r="C681" s="13">
        <v>10000</v>
      </c>
      <c r="D681" s="16">
        <f>IF('Attributes Inputs and Outputs'!$E$8='Defaults and Ranges'!$G$24, 0, 1)</f>
        <v>1</v>
      </c>
      <c r="E681" s="13"/>
      <c r="F681" s="13">
        <f t="shared" ref="F681:F686" si="22">C681*D681</f>
        <v>10000</v>
      </c>
      <c r="G681" s="13">
        <f>F681*('Attributes Inputs and Outputs'!$K$10/'Defaults and Ranges'!$N$6)</f>
        <v>10000</v>
      </c>
    </row>
    <row r="682" spans="1:7" x14ac:dyDescent="0.3">
      <c r="A682" t="s">
        <v>617</v>
      </c>
      <c r="B682" t="s">
        <v>631</v>
      </c>
      <c r="C682" s="13">
        <v>15000</v>
      </c>
      <c r="D682" s="16">
        <f>IF('Attributes Inputs and Outputs'!$E$8='Defaults and Ranges'!$G$24, 0, 1)</f>
        <v>1</v>
      </c>
      <c r="E682" s="13"/>
      <c r="F682" s="13">
        <f t="shared" si="22"/>
        <v>15000</v>
      </c>
      <c r="G682" s="13">
        <f>F682*('Attributes Inputs and Outputs'!$K$10/'Defaults and Ranges'!$N$6)</f>
        <v>15000</v>
      </c>
    </row>
    <row r="683" spans="1:7" x14ac:dyDescent="0.3">
      <c r="A683" t="s">
        <v>618</v>
      </c>
      <c r="B683" t="s">
        <v>629</v>
      </c>
      <c r="C683" s="13">
        <v>20000</v>
      </c>
      <c r="D683" s="16">
        <f>IF('Attributes Inputs and Outputs'!$J$8=2, 1, 0)</f>
        <v>1</v>
      </c>
      <c r="E683" s="13"/>
      <c r="F683" s="13">
        <f t="shared" si="22"/>
        <v>20000</v>
      </c>
      <c r="G683" s="13">
        <f>F683*('Attributes Inputs and Outputs'!$L$8/'Defaults and Ranges'!$O$6)</f>
        <v>20000</v>
      </c>
    </row>
    <row r="684" spans="1:7" x14ac:dyDescent="0.3">
      <c r="A684" t="s">
        <v>619</v>
      </c>
      <c r="B684" t="s">
        <v>631</v>
      </c>
      <c r="C684" s="13">
        <v>20000</v>
      </c>
      <c r="D684" s="16">
        <f>IF('Attributes Inputs and Outputs'!$J$8=2, 1, 0)</f>
        <v>1</v>
      </c>
      <c r="E684" s="13"/>
      <c r="F684" s="13">
        <f t="shared" si="22"/>
        <v>20000</v>
      </c>
      <c r="G684" s="13">
        <f>F684*('Attributes Inputs and Outputs'!$L$8/'Defaults and Ranges'!$O$6)</f>
        <v>20000</v>
      </c>
    </row>
    <row r="685" spans="1:7" x14ac:dyDescent="0.3">
      <c r="A685" t="s">
        <v>621</v>
      </c>
      <c r="B685" t="s">
        <v>630</v>
      </c>
      <c r="C685" s="13">
        <v>10000</v>
      </c>
      <c r="D685" s="16">
        <f>IF('Attributes Inputs and Outputs'!$H$17='Defaults and Ranges'!$K$33, 1, 0)</f>
        <v>0</v>
      </c>
      <c r="E685" s="13"/>
      <c r="F685" s="13">
        <f t="shared" si="22"/>
        <v>0</v>
      </c>
      <c r="G685" s="13">
        <f>F685*('Attributes Inputs and Outputs'!$M$10/'Defaults and Ranges'!$P$6)</f>
        <v>0</v>
      </c>
    </row>
    <row r="686" spans="1:7" x14ac:dyDescent="0.3">
      <c r="A686" t="s">
        <v>620</v>
      </c>
      <c r="B686" t="s">
        <v>626</v>
      </c>
      <c r="C686" s="13">
        <v>15000</v>
      </c>
      <c r="D686" s="16">
        <f>IF('Attributes Inputs and Outputs'!$H$17='Defaults and Ranges'!$K$33, 1, 0)</f>
        <v>0</v>
      </c>
      <c r="E686" s="13"/>
      <c r="F686" s="13">
        <f t="shared" si="22"/>
        <v>0</v>
      </c>
      <c r="G686" s="13">
        <f>F686*('Attributes Inputs and Outputs'!$M$10/'Defaults and Ranges'!$P$6)</f>
        <v>0</v>
      </c>
    </row>
    <row r="687" spans="1:7" x14ac:dyDescent="0.3">
      <c r="D687" s="39" t="s">
        <v>137</v>
      </c>
      <c r="E687" s="40">
        <f>SUM(E681:E686)</f>
        <v>0</v>
      </c>
      <c r="F687" s="40">
        <f>SUM(F681:F686)</f>
        <v>65000</v>
      </c>
      <c r="G687" s="40">
        <f>SUM(G681:G686)</f>
        <v>65000</v>
      </c>
    </row>
    <row r="691" spans="1:9" x14ac:dyDescent="0.3">
      <c r="E691" t="s">
        <v>647</v>
      </c>
      <c r="F691" t="s">
        <v>646</v>
      </c>
    </row>
    <row r="692" spans="1:9" x14ac:dyDescent="0.3">
      <c r="B692" t="s">
        <v>89</v>
      </c>
      <c r="E692" s="11">
        <f>IF(AND('Attributes Inputs and Outputs'!E8='Defaults and Ranges'!G24,'Attributes Inputs and Outputs'!H17='Defaults and Ranges'!J15), 1, IF('Attributes Inputs and Outputs'!H17='Defaults and Ranges'!J15,1.25,IF('Attributes Inputs and Outputs'!E8='Defaults and Ranges'!G24, 1.1,1.35)))*IF(F692&lt;Inputs!C65,Inputs!C66,IF(F692&lt;Inputs!D65,Inputs!D66,IF(F692&lt;Inputs!E65,Inputs!E66,IF(F692&lt;Inputs!F65,Inputs!F66,IF(F692&lt;Inputs!G65,Inputs!G66,IF(F692&lt;Inputs!H65,Inputs!H66,IF(F692&lt;Inputs!I65,Inputs!I66,IF(F692&lt;Inputs!J65,Inputs!J66,IF(F692&lt;Inputs!K65,Inputs!K66,IF(F692&lt;Inputs!L65,Inputs!L66,IF(F692&lt;Inputs!M65,Inputs!M66,IF(F692&lt;Inputs!N65,Inputs!N66,Inputs!O66))))))))))))+IF('Attributes Inputs and Outputs'!S8='Defaults and Ranges'!W24, 0, 2)</f>
        <v>25</v>
      </c>
      <c r="F692" s="16">
        <f>'Attributes Back Calcs'!G10</f>
        <v>2299</v>
      </c>
    </row>
    <row r="693" spans="1:9" x14ac:dyDescent="0.3">
      <c r="A693" s="7" t="s">
        <v>61</v>
      </c>
      <c r="D693" t="s">
        <v>645</v>
      </c>
      <c r="E693" s="11" t="s">
        <v>648</v>
      </c>
      <c r="F693" s="11" t="s">
        <v>649</v>
      </c>
      <c r="G693" t="s">
        <v>634</v>
      </c>
    </row>
    <row r="694" spans="1:9" x14ac:dyDescent="0.3">
      <c r="A694" t="s">
        <v>633</v>
      </c>
      <c r="B694" t="s">
        <v>635</v>
      </c>
      <c r="D694" s="48">
        <v>1</v>
      </c>
      <c r="E694"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694" s="48">
        <f>D694*E694</f>
        <v>1</v>
      </c>
      <c r="G694" s="16">
        <f>$E$692*D695</f>
        <v>25</v>
      </c>
    </row>
    <row r="695" spans="1:9" x14ac:dyDescent="0.3">
      <c r="A695" t="s">
        <v>634</v>
      </c>
      <c r="B695" t="s">
        <v>635</v>
      </c>
      <c r="D695" s="48">
        <v>1</v>
      </c>
      <c r="E695" s="48"/>
      <c r="F695" s="16"/>
      <c r="G695" s="13" t="s">
        <v>55</v>
      </c>
    </row>
    <row r="696" spans="1:9" x14ac:dyDescent="0.3">
      <c r="A696" t="s">
        <v>637</v>
      </c>
      <c r="B696" t="s">
        <v>636</v>
      </c>
      <c r="D696" s="48">
        <v>1</v>
      </c>
      <c r="E696" s="48"/>
      <c r="F696" s="48"/>
      <c r="G696" s="13">
        <f>Inputs!$C$64*'Package Price Back Calcs'!D696*'Package Price Back Calcs'!F694</f>
        <v>375</v>
      </c>
    </row>
    <row r="697" spans="1:9" x14ac:dyDescent="0.3">
      <c r="D697" s="40"/>
      <c r="E697" s="40"/>
      <c r="F697" s="39" t="s">
        <v>127</v>
      </c>
      <c r="G697" s="40">
        <f>G696*G694</f>
        <v>9375</v>
      </c>
    </row>
    <row r="698" spans="1:9" x14ac:dyDescent="0.3">
      <c r="A698" s="7" t="s">
        <v>62</v>
      </c>
      <c r="C698" s="13"/>
      <c r="D698" t="s">
        <v>645</v>
      </c>
      <c r="E698" s="11" t="s">
        <v>648</v>
      </c>
      <c r="F698" s="11" t="s">
        <v>649</v>
      </c>
      <c r="G698" t="s">
        <v>634</v>
      </c>
    </row>
    <row r="699" spans="1:9" x14ac:dyDescent="0.3">
      <c r="A699" t="s">
        <v>633</v>
      </c>
      <c r="B699" t="s">
        <v>638</v>
      </c>
      <c r="C699" s="13"/>
      <c r="D699" s="48">
        <v>1.2</v>
      </c>
      <c r="E699"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699" s="48">
        <f>D699*E699</f>
        <v>1.2</v>
      </c>
      <c r="G699" s="16">
        <f>$E$692*D700</f>
        <v>32.5</v>
      </c>
    </row>
    <row r="700" spans="1:9" x14ac:dyDescent="0.3">
      <c r="A700" t="s">
        <v>634</v>
      </c>
      <c r="B700" t="s">
        <v>638</v>
      </c>
      <c r="C700" s="13"/>
      <c r="D700" s="48">
        <v>1.3</v>
      </c>
      <c r="E700" s="48"/>
      <c r="F700" s="16"/>
      <c r="G700" s="13" t="s">
        <v>55</v>
      </c>
    </row>
    <row r="701" spans="1:9" x14ac:dyDescent="0.3">
      <c r="A701" t="s">
        <v>637</v>
      </c>
      <c r="B701" t="s">
        <v>639</v>
      </c>
      <c r="C701" s="13"/>
      <c r="D701" s="48">
        <v>1.1000000000000001</v>
      </c>
      <c r="E701" s="48"/>
      <c r="F701" s="48"/>
      <c r="G701" s="13">
        <f>Inputs!$C$64*'Package Price Back Calcs'!D701*'Package Price Back Calcs'!F699</f>
        <v>495.00000000000006</v>
      </c>
    </row>
    <row r="702" spans="1:9" x14ac:dyDescent="0.3">
      <c r="D702" s="39"/>
      <c r="E702" s="40"/>
      <c r="F702" s="39" t="s">
        <v>130</v>
      </c>
      <c r="G702" s="40">
        <f>G701*G699</f>
        <v>16087.500000000002</v>
      </c>
      <c r="I702" s="13"/>
    </row>
    <row r="703" spans="1:9" x14ac:dyDescent="0.3">
      <c r="A703" s="7" t="s">
        <v>63</v>
      </c>
      <c r="D703" t="s">
        <v>645</v>
      </c>
      <c r="E703" s="11" t="s">
        <v>648</v>
      </c>
      <c r="F703" s="11" t="s">
        <v>649</v>
      </c>
      <c r="G703" t="s">
        <v>634</v>
      </c>
    </row>
    <row r="704" spans="1:9" x14ac:dyDescent="0.3">
      <c r="A704" t="s">
        <v>633</v>
      </c>
      <c r="B704" t="s">
        <v>640</v>
      </c>
      <c r="C704" s="13"/>
      <c r="D704" s="48">
        <v>1.4</v>
      </c>
      <c r="E704"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704" s="48">
        <f>D704*E704</f>
        <v>1.4</v>
      </c>
      <c r="G704" s="16">
        <f>$E$692*D705</f>
        <v>40</v>
      </c>
    </row>
    <row r="705" spans="1:9" x14ac:dyDescent="0.3">
      <c r="A705" t="s">
        <v>634</v>
      </c>
      <c r="B705" t="s">
        <v>640</v>
      </c>
      <c r="C705" s="13"/>
      <c r="D705" s="48">
        <v>1.6</v>
      </c>
      <c r="E705" s="48"/>
      <c r="F705" s="16"/>
      <c r="G705" s="13" t="s">
        <v>55</v>
      </c>
    </row>
    <row r="706" spans="1:9" x14ac:dyDescent="0.3">
      <c r="A706" t="s">
        <v>637</v>
      </c>
      <c r="B706" t="s">
        <v>641</v>
      </c>
      <c r="C706" s="13"/>
      <c r="D706" s="48">
        <v>1.5</v>
      </c>
      <c r="E706" s="48"/>
      <c r="F706" s="48"/>
      <c r="G706" s="13">
        <f>Inputs!$C$64*'Package Price Back Calcs'!D706*'Package Price Back Calcs'!F704</f>
        <v>787.5</v>
      </c>
    </row>
    <row r="707" spans="1:9" x14ac:dyDescent="0.3">
      <c r="D707" s="39"/>
      <c r="E707" s="40"/>
      <c r="F707" s="39" t="s">
        <v>133</v>
      </c>
      <c r="G707" s="40">
        <f>G706*G704</f>
        <v>31500</v>
      </c>
    </row>
    <row r="708" spans="1:9" x14ac:dyDescent="0.3">
      <c r="A708" s="7" t="s">
        <v>64</v>
      </c>
      <c r="D708" t="s">
        <v>645</v>
      </c>
      <c r="E708" s="11" t="s">
        <v>648</v>
      </c>
      <c r="F708" s="11" t="s">
        <v>649</v>
      </c>
      <c r="G708" t="s">
        <v>634</v>
      </c>
    </row>
    <row r="709" spans="1:9" x14ac:dyDescent="0.3">
      <c r="A709" t="s">
        <v>633</v>
      </c>
      <c r="B709" t="s">
        <v>650</v>
      </c>
      <c r="C709" s="13"/>
      <c r="D709" s="48">
        <v>1.8</v>
      </c>
      <c r="E709" s="48">
        <f>(1+Inputs!$C$11)^((1-(0.2*IF('Attributes Inputs and Outputs'!E8='Defaults and Ranges'!G24,0,1)+0.3*IF('Attributes Inputs and Outputs'!J8=1,0,1)))*('Attributes Inputs and Outputs'!$L$8-'Defaults and Ranges'!$O$6)+(0.3*IF('Attributes Inputs and Outputs'!J8=2, 1, 0))*('Attributes Inputs and Outputs'!$M$8-'Defaults and Ranges'!$P$6)+(0.2*IF('Attributes Inputs and Outputs'!E8='Defaults and Ranges'!G24, 0, 1))*('Attributes Inputs and Outputs'!$K$8-'Defaults and Ranges'!$N$6))</f>
        <v>1</v>
      </c>
      <c r="F709" s="48">
        <f>D709*E709</f>
        <v>1.8</v>
      </c>
      <c r="G709" s="16">
        <f>$E$692*D710</f>
        <v>50</v>
      </c>
    </row>
    <row r="710" spans="1:9" x14ac:dyDescent="0.3">
      <c r="A710" t="s">
        <v>634</v>
      </c>
      <c r="B710" s="47" t="s">
        <v>651</v>
      </c>
      <c r="C710" s="13"/>
      <c r="D710" s="48">
        <v>2</v>
      </c>
      <c r="E710" s="48"/>
      <c r="F710" s="16"/>
      <c r="G710" s="13" t="s">
        <v>55</v>
      </c>
    </row>
    <row r="711" spans="1:9" x14ac:dyDescent="0.3">
      <c r="A711" t="s">
        <v>637</v>
      </c>
      <c r="B711" t="s">
        <v>642</v>
      </c>
      <c r="C711" s="13"/>
      <c r="D711" s="48">
        <v>1.8</v>
      </c>
      <c r="E711" s="48"/>
      <c r="F711" s="48"/>
      <c r="G711" s="13">
        <f>Inputs!$C$64*'Package Price Back Calcs'!D711*'Package Price Back Calcs'!F709</f>
        <v>1215</v>
      </c>
    </row>
    <row r="712" spans="1:9" x14ac:dyDescent="0.3">
      <c r="D712" s="39"/>
      <c r="E712" s="40"/>
      <c r="F712" s="39" t="s">
        <v>137</v>
      </c>
      <c r="G712" s="40">
        <f>G711*G709</f>
        <v>60750</v>
      </c>
    </row>
    <row r="714" spans="1:9" x14ac:dyDescent="0.3">
      <c r="F714" t="s">
        <v>634</v>
      </c>
      <c r="G714" s="16">
        <f>2*'Attributes Inputs and Outputs'!B8+ROUND('Attributes Inputs and Outputs'!C8,0)+IF('Attributes Inputs and Outputs'!H10='Defaults and Ranges'!K26, 1, 0)+ IF('Attributes Inputs and Outputs'!H11='Defaults and Ranges'!K27, 1, 0)+IF('Attributes Inputs and Outputs'!H14='Defaults and Ranges'!K30, 1, 0)+IF('Attributes Inputs and Outputs'!H16='Defaults and Ranges'!K32, 1, 0)+IF('Attributes Inputs and Outputs'!H17='Defaults and Ranges'!K33, 2, 0)+IF(AND('Attributes Inputs and Outputs'!H18='Defaults and Ranges'!K34, 'Packages Inputs and Outputs'!E61='Defaults and Ranges'!B53), 'Attributes Inputs and Outputs'!J8+IF('Attributes Inputs and Outputs'!E8='Defaults and Ranges'!G24, 0, 1), 0)+4+IF(OR('Attributes Inputs and Outputs'!J8=2, 'Attributes Inputs and Outputs'!E8='Defaults and Ranges'!G26), 1, 0)+IF('Attributes Inputs and Outputs'!E8='Defaults and Ranges'!G26, 1, 0)+2+ROUND(('Attributes Inputs and Outputs'!D17-2000)/1000,0)+IF('Attributes Inputs and Outputs'!I8&gt;0, 1, 0)</f>
        <v>17</v>
      </c>
      <c r="I714">
        <f>ROUND(('Attributes Inputs and Outputs'!D17-2000)/1000,0)</f>
        <v>0</v>
      </c>
    </row>
    <row r="715" spans="1:9" x14ac:dyDescent="0.3">
      <c r="B715" t="s">
        <v>90</v>
      </c>
      <c r="D715" t="s">
        <v>660</v>
      </c>
      <c r="E715" s="11"/>
      <c r="F715" s="16"/>
    </row>
    <row r="716" spans="1:9" x14ac:dyDescent="0.3">
      <c r="A716" s="7" t="s">
        <v>61</v>
      </c>
      <c r="D716" s="11"/>
      <c r="E716" s="11"/>
      <c r="F716" s="11"/>
    </row>
    <row r="717" spans="1:9" x14ac:dyDescent="0.3">
      <c r="A717" t="s">
        <v>633</v>
      </c>
      <c r="B717" s="63" t="s">
        <v>663</v>
      </c>
      <c r="D717" s="48">
        <v>1</v>
      </c>
      <c r="E717" s="48"/>
      <c r="F717" s="48"/>
    </row>
    <row r="718" spans="1:9" x14ac:dyDescent="0.3">
      <c r="A718" t="s">
        <v>659</v>
      </c>
      <c r="B718" t="s">
        <v>661</v>
      </c>
      <c r="D718" s="48">
        <v>25</v>
      </c>
      <c r="E718" s="48"/>
      <c r="F718" s="16"/>
      <c r="G718" s="13" t="s">
        <v>55</v>
      </c>
    </row>
    <row r="719" spans="1:9" x14ac:dyDescent="0.3">
      <c r="A719" t="s">
        <v>637</v>
      </c>
      <c r="B719" t="s">
        <v>1145</v>
      </c>
      <c r="D719" s="48">
        <f>25+90+15</f>
        <v>130</v>
      </c>
      <c r="E719" s="48"/>
      <c r="F719" s="48"/>
      <c r="G719" s="13">
        <f>D719*D717+D718</f>
        <v>155</v>
      </c>
    </row>
    <row r="720" spans="1:9" x14ac:dyDescent="0.3">
      <c r="D720" s="40"/>
      <c r="E720" s="40"/>
      <c r="F720" s="39" t="s">
        <v>127</v>
      </c>
      <c r="G720" s="40">
        <f>G719*G714</f>
        <v>2635</v>
      </c>
    </row>
    <row r="721" spans="1:7" x14ac:dyDescent="0.3">
      <c r="A721" s="7" t="s">
        <v>62</v>
      </c>
      <c r="C721" s="13"/>
      <c r="D721" t="s">
        <v>645</v>
      </c>
      <c r="E721" s="11" t="s">
        <v>648</v>
      </c>
      <c r="F721" s="11" t="s">
        <v>649</v>
      </c>
    </row>
    <row r="722" spans="1:7" x14ac:dyDescent="0.3">
      <c r="A722" t="s">
        <v>633</v>
      </c>
      <c r="B722" s="63" t="s">
        <v>662</v>
      </c>
      <c r="D722" s="58">
        <f>1+(0.5*(IF('Attributes Inputs and Outputs'!$K$8&gt;9, 0.1, 0)+IF('Attributes Inputs and Outputs'!$L$8&gt;9, 0.2, 0)+IF('Attributes Inputs and Outputs'!$M$8&gt;9, 0.7, 0)))</f>
        <v>1</v>
      </c>
      <c r="E722" s="48"/>
      <c r="F722" s="48"/>
      <c r="G722" s="16"/>
    </row>
    <row r="723" spans="1:7" x14ac:dyDescent="0.3">
      <c r="A723" t="s">
        <v>659</v>
      </c>
      <c r="B723" t="s">
        <v>664</v>
      </c>
      <c r="D723" s="48">
        <v>35</v>
      </c>
      <c r="E723" s="48"/>
      <c r="F723" s="16"/>
      <c r="G723" s="13" t="s">
        <v>55</v>
      </c>
    </row>
    <row r="724" spans="1:7" x14ac:dyDescent="0.3">
      <c r="A724" t="s">
        <v>637</v>
      </c>
      <c r="B724" t="s">
        <v>665</v>
      </c>
      <c r="D724" s="48">
        <f>35+175+15</f>
        <v>225</v>
      </c>
      <c r="E724" s="48"/>
      <c r="F724" s="48"/>
      <c r="G724" s="13">
        <f>D724*D722+D723</f>
        <v>260</v>
      </c>
    </row>
    <row r="725" spans="1:7" x14ac:dyDescent="0.3">
      <c r="D725" s="39"/>
      <c r="E725" s="40"/>
      <c r="F725" s="39" t="s">
        <v>130</v>
      </c>
      <c r="G725" s="40">
        <f>G724*G714</f>
        <v>4420</v>
      </c>
    </row>
    <row r="726" spans="1:7" x14ac:dyDescent="0.3">
      <c r="A726" s="7" t="s">
        <v>63</v>
      </c>
      <c r="D726" t="s">
        <v>645</v>
      </c>
      <c r="E726" s="11" t="s">
        <v>648</v>
      </c>
      <c r="F726" s="11" t="s">
        <v>649</v>
      </c>
    </row>
    <row r="727" spans="1:7" x14ac:dyDescent="0.3">
      <c r="A727" t="s">
        <v>633</v>
      </c>
      <c r="B727" s="63" t="s">
        <v>666</v>
      </c>
      <c r="D727" s="58">
        <f>1+(0.5*(IF('Attributes Inputs and Outputs'!$K$8&gt;9,0.1,0)+IF('Attributes Inputs and Outputs'!$L$8&gt;9,0.2,0)+IF('Attributes Inputs and Outputs'!$M$8&gt;9,0.7,0)))+0.33*(IF('Attributes Inputs and Outputs'!$K$8=9,0.1,0)+IF('Attributes Inputs and Outputs'!$L$8=9,0.2,0)+IF('Attributes Inputs and Outputs'!$M$8=9,0.7,0))</f>
        <v>1.33</v>
      </c>
      <c r="E727" s="48"/>
      <c r="F727" s="48"/>
      <c r="G727" s="16"/>
    </row>
    <row r="728" spans="1:7" x14ac:dyDescent="0.3">
      <c r="A728" t="s">
        <v>659</v>
      </c>
      <c r="B728" t="s">
        <v>668</v>
      </c>
      <c r="D728" s="48">
        <v>45</v>
      </c>
      <c r="E728" s="48"/>
      <c r="F728" s="16"/>
      <c r="G728" s="13" t="s">
        <v>55</v>
      </c>
    </row>
    <row r="729" spans="1:7" x14ac:dyDescent="0.3">
      <c r="A729" t="s">
        <v>637</v>
      </c>
      <c r="B729" t="s">
        <v>1150</v>
      </c>
      <c r="D729" s="48">
        <f>35+340+15</f>
        <v>390</v>
      </c>
      <c r="E729" s="48"/>
      <c r="F729" s="48"/>
      <c r="G729" s="13">
        <f>D729*D727+D728</f>
        <v>563.70000000000005</v>
      </c>
    </row>
    <row r="730" spans="1:7" x14ac:dyDescent="0.3">
      <c r="D730" s="39"/>
      <c r="E730" s="40"/>
      <c r="F730" s="39" t="s">
        <v>133</v>
      </c>
      <c r="G730" s="40">
        <f>G729*G714</f>
        <v>9582.9000000000015</v>
      </c>
    </row>
    <row r="731" spans="1:7" x14ac:dyDescent="0.3">
      <c r="A731" s="7" t="s">
        <v>64</v>
      </c>
      <c r="D731" t="s">
        <v>645</v>
      </c>
      <c r="E731" s="11" t="s">
        <v>648</v>
      </c>
      <c r="F731" s="11" t="s">
        <v>649</v>
      </c>
    </row>
    <row r="732" spans="1:7" x14ac:dyDescent="0.3">
      <c r="A732" t="s">
        <v>633</v>
      </c>
      <c r="B732" s="63" t="s">
        <v>666</v>
      </c>
      <c r="D732" s="58">
        <f>1+(0.5*(IF('Attributes Inputs and Outputs'!$K$8&gt;9,0.1,0)+IF('Attributes Inputs and Outputs'!$L$8&gt;9,0.2,0)+IF('Attributes Inputs and Outputs'!$M$8&gt;9,0.7,0)))+0.33*(IF('Attributes Inputs and Outputs'!$K$8=9,0.1,0)+IF('Attributes Inputs and Outputs'!$L$8=9,0.2,0)+IF('Attributes Inputs and Outputs'!$M$8=9,0.7,0))</f>
        <v>1.33</v>
      </c>
      <c r="E732" s="48"/>
      <c r="F732" s="48"/>
      <c r="G732" s="16"/>
    </row>
    <row r="733" spans="1:7" x14ac:dyDescent="0.3">
      <c r="A733" t="s">
        <v>659</v>
      </c>
      <c r="B733" t="s">
        <v>667</v>
      </c>
      <c r="D733" s="48">
        <v>200</v>
      </c>
      <c r="E733" s="48"/>
      <c r="F733" s="16"/>
      <c r="G733" s="13" t="s">
        <v>55</v>
      </c>
    </row>
    <row r="734" spans="1:7" x14ac:dyDescent="0.3">
      <c r="A734" t="s">
        <v>637</v>
      </c>
      <c r="B734" t="s">
        <v>1151</v>
      </c>
      <c r="D734" s="48">
        <f>100+1500+100</f>
        <v>1700</v>
      </c>
      <c r="E734" s="48"/>
      <c r="F734" s="48"/>
      <c r="G734" s="13">
        <f>D734*D732+D733</f>
        <v>2461</v>
      </c>
    </row>
    <row r="735" spans="1:7" x14ac:dyDescent="0.3">
      <c r="D735" s="39"/>
      <c r="E735" s="40"/>
      <c r="F735" s="39" t="s">
        <v>137</v>
      </c>
      <c r="G735" s="40">
        <f>G734*G714</f>
        <v>41837</v>
      </c>
    </row>
    <row r="738" spans="1:11" x14ac:dyDescent="0.3">
      <c r="F738" t="s">
        <v>158</v>
      </c>
      <c r="G738" t="s">
        <v>669</v>
      </c>
    </row>
    <row r="739" spans="1:11" x14ac:dyDescent="0.3">
      <c r="B739" t="s">
        <v>615</v>
      </c>
      <c r="F739" s="34"/>
    </row>
    <row r="740" spans="1:11" ht="15" thickBot="1" x14ac:dyDescent="0.35">
      <c r="A740" s="7" t="s">
        <v>61</v>
      </c>
      <c r="D740" t="s">
        <v>139</v>
      </c>
      <c r="E740" s="16"/>
      <c r="F740" s="11">
        <f>IF('Attributes Inputs and Outputs'!J8=1, 0.25*'Attributes Back Calcs'!G5, 0.25*'Attributes Back Calcs'!G4)</f>
        <v>349.875</v>
      </c>
    </row>
    <row r="741" spans="1:11" x14ac:dyDescent="0.3">
      <c r="A741" t="s">
        <v>177</v>
      </c>
      <c r="B741" t="s">
        <v>670</v>
      </c>
      <c r="C741" s="13"/>
      <c r="D741" s="37">
        <v>0</v>
      </c>
      <c r="E741" s="13"/>
      <c r="F741" s="13">
        <f>$C741+($D741*F$740)</f>
        <v>0</v>
      </c>
      <c r="G741" s="13">
        <v>0</v>
      </c>
      <c r="I741" s="70" t="s">
        <v>1019</v>
      </c>
      <c r="J741" s="71"/>
      <c r="K741" s="72"/>
    </row>
    <row r="742" spans="1:11" x14ac:dyDescent="0.3">
      <c r="A742" t="s">
        <v>178</v>
      </c>
      <c r="B742" t="s">
        <v>179</v>
      </c>
      <c r="C742" s="13"/>
      <c r="D742" s="13">
        <v>0</v>
      </c>
      <c r="E742" s="13"/>
      <c r="F742" s="13">
        <f>E742</f>
        <v>0</v>
      </c>
      <c r="G742" s="13">
        <f>F742</f>
        <v>0</v>
      </c>
      <c r="I742" s="73" t="s">
        <v>988</v>
      </c>
      <c r="J742" t="s">
        <v>992</v>
      </c>
      <c r="K742" s="74" t="s">
        <v>994</v>
      </c>
    </row>
    <row r="743" spans="1:11" x14ac:dyDescent="0.3">
      <c r="A743" t="s">
        <v>146</v>
      </c>
      <c r="B743" t="s">
        <v>583</v>
      </c>
      <c r="C743" s="13"/>
      <c r="D743" s="14">
        <f>75*0.0045</f>
        <v>0.33749999999999997</v>
      </c>
      <c r="E743" s="13"/>
      <c r="F743" s="13">
        <f>$C743+($D743*F$740)</f>
        <v>118.08281249999999</v>
      </c>
      <c r="G743" s="13">
        <f>F743</f>
        <v>118.08281249999999</v>
      </c>
      <c r="I743" s="73" t="s">
        <v>61</v>
      </c>
      <c r="J743" s="18">
        <f>F740*0.0045</f>
        <v>1.5744374999999999</v>
      </c>
      <c r="K743" s="18">
        <f>J743</f>
        <v>1.5744374999999999</v>
      </c>
    </row>
    <row r="744" spans="1:11" x14ac:dyDescent="0.3">
      <c r="A744" t="s">
        <v>221</v>
      </c>
      <c r="B744" t="s">
        <v>590</v>
      </c>
      <c r="C744" s="13"/>
      <c r="D744" s="37">
        <v>2</v>
      </c>
      <c r="E744" s="13"/>
      <c r="F744" s="13">
        <f>$C744+($D744*F$740)</f>
        <v>699.75</v>
      </c>
      <c r="G744" s="13">
        <f>F744*(1+(IF('Attributes Inputs and Outputs'!$O$8=Inputs!$C$44,Inputs!$C$45,IF('Attributes Inputs and Outputs'!$O$8=Inputs!$D$44,Inputs!$D$45,IF('Attributes Inputs and Outputs'!$O$8=Inputs!$E$44,Inputs!$E$45,IF('Attributes Inputs and Outputs'!$O$8=Inputs!$F$44,Inputs!$F$45,Inputs!$G$45))))))</f>
        <v>699.75</v>
      </c>
      <c r="I744" s="73" t="s">
        <v>63</v>
      </c>
      <c r="J744" s="18">
        <f>1+F740*0.011</f>
        <v>4.8486250000000002</v>
      </c>
      <c r="K744" s="18">
        <f>J744</f>
        <v>4.8486250000000002</v>
      </c>
    </row>
    <row r="745" spans="1:11" x14ac:dyDescent="0.3">
      <c r="A745" t="s">
        <v>222</v>
      </c>
      <c r="B745" t="s">
        <v>187</v>
      </c>
      <c r="C745" s="13"/>
      <c r="D745" s="37"/>
      <c r="E745" s="13"/>
      <c r="F745" s="13"/>
      <c r="G745" s="13"/>
      <c r="I745" s="73" t="s">
        <v>64</v>
      </c>
      <c r="J745" s="18">
        <f>J744</f>
        <v>4.8486250000000002</v>
      </c>
      <c r="K745" s="18">
        <f>J745</f>
        <v>4.8486250000000002</v>
      </c>
    </row>
    <row r="746" spans="1:11" x14ac:dyDescent="0.3">
      <c r="A746" t="s">
        <v>138</v>
      </c>
      <c r="B746" t="s">
        <v>187</v>
      </c>
      <c r="C746" s="13"/>
      <c r="D746" s="37"/>
      <c r="E746" s="13"/>
      <c r="F746" s="13"/>
      <c r="G746" s="13"/>
      <c r="I746" s="73" t="s">
        <v>62</v>
      </c>
      <c r="J746" s="18">
        <f>F740*0.0045</f>
        <v>1.5744374999999999</v>
      </c>
      <c r="K746" s="18">
        <f>J746</f>
        <v>1.5744374999999999</v>
      </c>
    </row>
    <row r="747" spans="1:11" x14ac:dyDescent="0.3">
      <c r="D747" s="39" t="s">
        <v>127</v>
      </c>
      <c r="E747" s="40">
        <f>SUM(E741:E746)</f>
        <v>0</v>
      </c>
      <c r="F747" s="40">
        <f>SUM(F741:F746)</f>
        <v>817.83281250000005</v>
      </c>
      <c r="G747" s="40">
        <f>SUM(G741:G746)</f>
        <v>817.83281250000005</v>
      </c>
      <c r="I747" s="73"/>
      <c r="K747" s="74"/>
    </row>
    <row r="748" spans="1:11" ht="15" thickBot="1" x14ac:dyDescent="0.35">
      <c r="A748" s="7" t="s">
        <v>62</v>
      </c>
      <c r="C748" s="13"/>
      <c r="D748" s="13"/>
      <c r="E748" s="13"/>
      <c r="F748" s="13"/>
      <c r="I748" s="75"/>
      <c r="J748" s="76" t="s">
        <v>990</v>
      </c>
      <c r="K748" s="83">
        <f xml:space="preserve"> IF('Attributes Inputs and Outputs'!H17='Defaults and Ranges'!K33, LOOKUP('Packages Inputs and Outputs'!E40, I743:I746, K743:K746), 0)</f>
        <v>0</v>
      </c>
    </row>
    <row r="749" spans="1:11" x14ac:dyDescent="0.3">
      <c r="A749" t="s">
        <v>177</v>
      </c>
      <c r="B749" t="s">
        <v>1198</v>
      </c>
      <c r="C749" s="13">
        <v>2000</v>
      </c>
      <c r="D749" s="37">
        <v>0</v>
      </c>
      <c r="E749" s="13"/>
      <c r="F749" s="13">
        <f>$C749+($D749*F$740)</f>
        <v>2000</v>
      </c>
      <c r="G749" s="13">
        <f>F749</f>
        <v>2000</v>
      </c>
    </row>
    <row r="750" spans="1:11" x14ac:dyDescent="0.3">
      <c r="A750" t="s">
        <v>178</v>
      </c>
      <c r="B750" t="s">
        <v>179</v>
      </c>
      <c r="C750" s="13"/>
      <c r="D750" s="13">
        <v>0</v>
      </c>
      <c r="E750" s="13"/>
      <c r="F750" s="13">
        <f>E750</f>
        <v>0</v>
      </c>
      <c r="G750" s="13">
        <f>F750</f>
        <v>0</v>
      </c>
    </row>
    <row r="751" spans="1:11" x14ac:dyDescent="0.3">
      <c r="A751" t="s">
        <v>146</v>
      </c>
      <c r="B751" t="s">
        <v>1203</v>
      </c>
      <c r="C751" s="13"/>
      <c r="D751" s="14">
        <f>125*0.011</f>
        <v>1.375</v>
      </c>
      <c r="E751" s="13"/>
      <c r="F751" s="13">
        <f>$C751+($D751*F$740)</f>
        <v>481.078125</v>
      </c>
      <c r="G751" s="13">
        <f>F751</f>
        <v>481.078125</v>
      </c>
    </row>
    <row r="752" spans="1:11" x14ac:dyDescent="0.3">
      <c r="A752" t="s">
        <v>221</v>
      </c>
      <c r="B752" t="s">
        <v>1197</v>
      </c>
      <c r="C752" s="13"/>
      <c r="D752" s="37">
        <v>7</v>
      </c>
      <c r="E752" s="13"/>
      <c r="F752" s="13">
        <f>$C752+($D752*F$740)</f>
        <v>2449.125</v>
      </c>
      <c r="G752" s="13">
        <f>F752*(1+(IF('Attributes Inputs and Outputs'!$O$8=Inputs!$C$44,Inputs!$C$45,IF('Attributes Inputs and Outputs'!$O$8=Inputs!$D$44,Inputs!$D$45,IF('Attributes Inputs and Outputs'!$O$8=Inputs!$E$44,Inputs!$E$45,IF('Attributes Inputs and Outputs'!$O$8=Inputs!$F$44,Inputs!$F$45,Inputs!$G$45))))))</f>
        <v>2449.125</v>
      </c>
    </row>
    <row r="753" spans="1:7" x14ac:dyDescent="0.3">
      <c r="A753" t="s">
        <v>222</v>
      </c>
      <c r="B753" t="s">
        <v>187</v>
      </c>
      <c r="C753" s="13"/>
      <c r="D753" s="37"/>
      <c r="E753" s="13"/>
      <c r="F753" s="13"/>
      <c r="G753" s="13"/>
    </row>
    <row r="754" spans="1:7" x14ac:dyDescent="0.3">
      <c r="A754" t="s">
        <v>1195</v>
      </c>
      <c r="C754" s="13"/>
      <c r="D754" s="37"/>
      <c r="E754" s="13"/>
      <c r="F754" s="13"/>
      <c r="G754" s="13"/>
    </row>
    <row r="755" spans="1:7" x14ac:dyDescent="0.3">
      <c r="D755" s="39" t="s">
        <v>130</v>
      </c>
      <c r="E755" s="40">
        <f>SUM(E749:E754)</f>
        <v>0</v>
      </c>
      <c r="F755" s="40">
        <f>SUM(F749:F754)</f>
        <v>4930.203125</v>
      </c>
      <c r="G755" s="40">
        <f>SUM(G749:G754)</f>
        <v>4930.203125</v>
      </c>
    </row>
    <row r="756" spans="1:7" x14ac:dyDescent="0.3">
      <c r="A756" s="7" t="s">
        <v>63</v>
      </c>
      <c r="F756" s="13"/>
    </row>
    <row r="757" spans="1:7" x14ac:dyDescent="0.3">
      <c r="A757" t="s">
        <v>177</v>
      </c>
      <c r="B757" t="s">
        <v>1200</v>
      </c>
      <c r="C757" s="13">
        <v>4000</v>
      </c>
      <c r="D757" s="37">
        <v>0</v>
      </c>
      <c r="E757" s="13"/>
      <c r="F757" s="13">
        <f>$C757+($D757*F$740)</f>
        <v>4000</v>
      </c>
      <c r="G757" s="13">
        <f>F757</f>
        <v>4000</v>
      </c>
    </row>
    <row r="758" spans="1:7" x14ac:dyDescent="0.3">
      <c r="A758" t="s">
        <v>178</v>
      </c>
      <c r="B758" t="s">
        <v>1193</v>
      </c>
      <c r="C758" s="13"/>
      <c r="D758" s="37">
        <v>4</v>
      </c>
      <c r="E758" s="13"/>
      <c r="F758" s="13">
        <f>$C758+($D758*F$740)</f>
        <v>1399.5</v>
      </c>
      <c r="G758" s="13">
        <f>F758</f>
        <v>1399.5</v>
      </c>
    </row>
    <row r="759" spans="1:7" x14ac:dyDescent="0.3">
      <c r="A759" t="s">
        <v>146</v>
      </c>
      <c r="B759" t="s">
        <v>671</v>
      </c>
      <c r="C759" s="13">
        <v>250</v>
      </c>
      <c r="D759" s="14">
        <f>125*0.011</f>
        <v>1.375</v>
      </c>
      <c r="E759" s="13"/>
      <c r="F759" s="13">
        <f>$C759+($D759*F$740)</f>
        <v>731.078125</v>
      </c>
      <c r="G759" s="13">
        <f>F759</f>
        <v>731.078125</v>
      </c>
    </row>
    <row r="760" spans="1:7" x14ac:dyDescent="0.3">
      <c r="A760" t="s">
        <v>221</v>
      </c>
      <c r="B760" t="s">
        <v>1199</v>
      </c>
      <c r="C760" s="13"/>
      <c r="D760" s="37">
        <v>12</v>
      </c>
      <c r="E760" s="13"/>
      <c r="F760" s="13">
        <f>$C760+($D760*F$740)</f>
        <v>4198.5</v>
      </c>
      <c r="G760" s="13">
        <f>F760*(1+(IF('Attributes Inputs and Outputs'!$O$8=Inputs!$C$44,Inputs!$C$45,IF('Attributes Inputs and Outputs'!$O$8=Inputs!$D$44,Inputs!$D$45,IF('Attributes Inputs and Outputs'!$O$8=Inputs!$E$44,Inputs!$E$45,IF('Attributes Inputs and Outputs'!$O$8=Inputs!$F$44,Inputs!$F$45,Inputs!$G$45))))))</f>
        <v>4198.5</v>
      </c>
    </row>
    <row r="761" spans="1:7" x14ac:dyDescent="0.3">
      <c r="A761" t="s">
        <v>222</v>
      </c>
      <c r="B761" t="s">
        <v>187</v>
      </c>
      <c r="C761" s="13"/>
      <c r="D761" s="37"/>
      <c r="E761" s="13"/>
      <c r="F761" s="13"/>
      <c r="G761" s="13"/>
    </row>
    <row r="762" spans="1:7" x14ac:dyDescent="0.3">
      <c r="A762" t="s">
        <v>1196</v>
      </c>
      <c r="C762" s="13"/>
      <c r="D762" s="37"/>
      <c r="E762" s="13"/>
      <c r="F762" s="13"/>
      <c r="G762" s="13"/>
    </row>
    <row r="763" spans="1:7" x14ac:dyDescent="0.3">
      <c r="D763" s="39" t="s">
        <v>133</v>
      </c>
      <c r="E763" s="40">
        <f>SUM(E757:E762)</f>
        <v>0</v>
      </c>
      <c r="F763" s="40">
        <f>SUM(F757:F762)</f>
        <v>10329.078125</v>
      </c>
      <c r="G763" s="40">
        <f>SUM(G757:G762)</f>
        <v>10329.078125</v>
      </c>
    </row>
    <row r="764" spans="1:7" x14ac:dyDescent="0.3">
      <c r="A764" s="7" t="s">
        <v>64</v>
      </c>
      <c r="B764" s="13"/>
      <c r="F764" s="13"/>
    </row>
    <row r="765" spans="1:7" x14ac:dyDescent="0.3">
      <c r="A765" t="s">
        <v>177</v>
      </c>
      <c r="B765" t="s">
        <v>1202</v>
      </c>
      <c r="C765" s="13">
        <f>11*135+5000</f>
        <v>6485</v>
      </c>
      <c r="D765" s="14">
        <f>IF(F740&gt;700, 0.24,0)</f>
        <v>0</v>
      </c>
      <c r="E765" s="13"/>
      <c r="F765" s="13">
        <f t="shared" ref="F765:F770" si="23">$C765+($D765*F$740)</f>
        <v>6485</v>
      </c>
      <c r="G765" s="13">
        <f>F765</f>
        <v>6485</v>
      </c>
    </row>
    <row r="766" spans="1:7" x14ac:dyDescent="0.3">
      <c r="A766" t="s">
        <v>178</v>
      </c>
      <c r="B766" t="s">
        <v>1194</v>
      </c>
      <c r="C766" s="13">
        <v>400</v>
      </c>
      <c r="D766" s="37">
        <v>8</v>
      </c>
      <c r="E766" s="13"/>
      <c r="F766" s="13">
        <f t="shared" si="23"/>
        <v>3199</v>
      </c>
      <c r="G766" s="13">
        <f>F766</f>
        <v>3199</v>
      </c>
    </row>
    <row r="767" spans="1:7" x14ac:dyDescent="0.3">
      <c r="A767" t="s">
        <v>146</v>
      </c>
      <c r="B767" t="s">
        <v>672</v>
      </c>
      <c r="C767" s="13">
        <v>500</v>
      </c>
      <c r="D767" s="14">
        <f>125*0.011</f>
        <v>1.375</v>
      </c>
      <c r="E767" s="13"/>
      <c r="F767" s="13">
        <f t="shared" si="23"/>
        <v>981.078125</v>
      </c>
      <c r="G767" s="13">
        <f>F767</f>
        <v>981.078125</v>
      </c>
    </row>
    <row r="768" spans="1:7" x14ac:dyDescent="0.3">
      <c r="A768" t="s">
        <v>221</v>
      </c>
      <c r="B768" t="s">
        <v>1420</v>
      </c>
      <c r="C768" s="13"/>
      <c r="D768" s="37">
        <v>13</v>
      </c>
      <c r="E768" s="13"/>
      <c r="F768" s="13">
        <f t="shared" si="23"/>
        <v>4548.375</v>
      </c>
      <c r="G768" s="13">
        <f>F768*(1+(IF('Attributes Inputs and Outputs'!$O$8=Inputs!$C$44,Inputs!$C$45,IF('Attributes Inputs and Outputs'!$O$8=Inputs!$D$44,Inputs!$D$45,IF('Attributes Inputs and Outputs'!$O$8=Inputs!$E$44,Inputs!$E$45,IF('Attributes Inputs and Outputs'!$O$8=Inputs!$F$44,Inputs!$F$45,Inputs!$G$45))))))</f>
        <v>4548.375</v>
      </c>
    </row>
    <row r="769" spans="1:7" x14ac:dyDescent="0.3">
      <c r="A769" t="s">
        <v>222</v>
      </c>
      <c r="B769" t="s">
        <v>193</v>
      </c>
      <c r="C769" s="13">
        <f>5500+(7+10)*6*9</f>
        <v>6418</v>
      </c>
      <c r="D769" s="37"/>
      <c r="E769" s="13"/>
      <c r="F769" s="13">
        <f t="shared" si="23"/>
        <v>6418</v>
      </c>
      <c r="G769" s="13">
        <f>F769*(1+(IF('Attributes Inputs and Outputs'!$O$8=Inputs!$C$44,Inputs!$C$45,IF('Attributes Inputs and Outputs'!$O$8=Inputs!$D$44,Inputs!$D$45,IF('Attributes Inputs and Outputs'!$O$8=Inputs!$E$44,Inputs!$E$45,IF('Attributes Inputs and Outputs'!$O$8=Inputs!$F$44,Inputs!$F$45,Inputs!$G$45))))))</f>
        <v>6418</v>
      </c>
    </row>
    <row r="770" spans="1:7" x14ac:dyDescent="0.3">
      <c r="C770" s="13"/>
      <c r="D770" s="37"/>
      <c r="E770" s="13"/>
      <c r="F770" s="13">
        <f t="shared" si="23"/>
        <v>0</v>
      </c>
      <c r="G770" s="13">
        <f>F770*(1+(Inputs!$C$43*('Attributes Inputs and Outputs'!$K$8-'Defaults and Ranges'!$N$6)))*(1+(IF('Attributes Inputs and Outputs'!$O$8=Inputs!$C$44,Inputs!$C$45,IF('Attributes Inputs and Outputs'!$O$8=Inputs!$D$44,Inputs!$D$45,IF('Attributes Inputs and Outputs'!$O$8=Inputs!$E$44,Inputs!$E$45,IF('Attributes Inputs and Outputs'!$O$8=Inputs!$F$44,Inputs!$F$45,Inputs!$G$45))))))</f>
        <v>0</v>
      </c>
    </row>
    <row r="771" spans="1:7" x14ac:dyDescent="0.3">
      <c r="D771" s="39" t="s">
        <v>137</v>
      </c>
      <c r="E771" s="40">
        <f>SUM(E765:E770)</f>
        <v>0</v>
      </c>
      <c r="F771" s="40">
        <f>SUM(F765:F770)</f>
        <v>21631.453125</v>
      </c>
      <c r="G771" s="40">
        <f>SUM(G765:G770)</f>
        <v>21631.453125</v>
      </c>
    </row>
    <row r="774" spans="1:7" x14ac:dyDescent="0.3">
      <c r="G774" t="s">
        <v>690</v>
      </c>
    </row>
    <row r="775" spans="1:7" x14ac:dyDescent="0.3">
      <c r="B775" t="s">
        <v>674</v>
      </c>
      <c r="F775" s="34"/>
    </row>
    <row r="776" spans="1:7" x14ac:dyDescent="0.3">
      <c r="A776" s="7" t="s">
        <v>61</v>
      </c>
      <c r="B776" t="s">
        <v>682</v>
      </c>
      <c r="E776" s="16" t="s">
        <v>696</v>
      </c>
      <c r="F776" s="16" t="s">
        <v>696</v>
      </c>
    </row>
    <row r="777" spans="1:7" x14ac:dyDescent="0.3">
      <c r="A777" t="s">
        <v>678</v>
      </c>
      <c r="B777" t="s">
        <v>689</v>
      </c>
      <c r="C777" s="13">
        <f>11.5*12*14+1000</f>
        <v>2932</v>
      </c>
      <c r="D777" s="37"/>
      <c r="E777" s="13"/>
      <c r="F777" s="13">
        <f>SUM(C777:C778)</f>
        <v>5182</v>
      </c>
      <c r="G777" s="13">
        <f>F777*(1+(IF('Attributes Inputs and Outputs'!$O$8=Inputs!$C$44,Inputs!$C$45,IF('Attributes Inputs and Outputs'!$O$8=Inputs!$D$44,Inputs!$D$45,IF('Attributes Inputs and Outputs'!$O$8=Inputs!$E$44,Inputs!$E$45,IF('Attributes Inputs and Outputs'!$O$8=Inputs!$F$44,Inputs!$F$45,Inputs!$G$45))))))</f>
        <v>5182</v>
      </c>
    </row>
    <row r="778" spans="1:7" x14ac:dyDescent="0.3">
      <c r="A778" t="s">
        <v>679</v>
      </c>
      <c r="B778" t="s">
        <v>691</v>
      </c>
      <c r="C778" s="13">
        <f>Inputs!C67*30</f>
        <v>2250</v>
      </c>
      <c r="D778" s="9"/>
      <c r="E778" s="13"/>
      <c r="F778" s="13"/>
      <c r="G778" s="13"/>
    </row>
    <row r="779" spans="1:7" x14ac:dyDescent="0.3">
      <c r="A779" t="s">
        <v>680</v>
      </c>
      <c r="B779" t="s">
        <v>692</v>
      </c>
      <c r="C779" s="13">
        <f>10*12*14</f>
        <v>1680</v>
      </c>
      <c r="D779" s="14"/>
      <c r="E779" s="13"/>
      <c r="F779" s="13">
        <f>SUM(C779:C780)</f>
        <v>3192</v>
      </c>
      <c r="G779" s="13">
        <f>F779*(1+(IF('Attributes Inputs and Outputs'!$O$8=Inputs!$C$44,Inputs!$C$45,IF('Attributes Inputs and Outputs'!$O$8=Inputs!$D$44,Inputs!$D$45,IF('Attributes Inputs and Outputs'!$O$8=Inputs!$E$44,Inputs!$E$45,IF('Attributes Inputs and Outputs'!$O$8=Inputs!$F$44,Inputs!$F$45,Inputs!$G$45))))))</f>
        <v>3192</v>
      </c>
    </row>
    <row r="780" spans="1:7" x14ac:dyDescent="0.3">
      <c r="A780" t="s">
        <v>681</v>
      </c>
      <c r="B780" t="s">
        <v>693</v>
      </c>
      <c r="C780" s="13">
        <f>Inputs!C68*12*14</f>
        <v>1512</v>
      </c>
      <c r="D780" s="37"/>
      <c r="E780" s="13"/>
      <c r="F780" s="13"/>
      <c r="G780" s="13"/>
    </row>
    <row r="781" spans="1:7" x14ac:dyDescent="0.3">
      <c r="D781" s="39" t="s">
        <v>127</v>
      </c>
      <c r="E781" s="40"/>
      <c r="F781" s="40">
        <f>MAX(F777, F779)</f>
        <v>5182</v>
      </c>
      <c r="G781" s="40">
        <f>MAX(G777, G779)</f>
        <v>5182</v>
      </c>
    </row>
    <row r="782" spans="1:7" x14ac:dyDescent="0.3">
      <c r="A782" s="7" t="s">
        <v>62</v>
      </c>
      <c r="B782" t="s">
        <v>677</v>
      </c>
      <c r="C782" s="13"/>
      <c r="D782" s="13"/>
      <c r="E782" s="13"/>
      <c r="F782" s="13"/>
    </row>
    <row r="783" spans="1:7" x14ac:dyDescent="0.3">
      <c r="A783" t="s">
        <v>678</v>
      </c>
      <c r="B783" t="s">
        <v>687</v>
      </c>
      <c r="C783" s="13">
        <f>15*12*14+43*58+500</f>
        <v>5514</v>
      </c>
      <c r="D783" s="37"/>
      <c r="E783" s="13"/>
      <c r="F783" s="13">
        <f>SUM(C783:C784)</f>
        <v>8514</v>
      </c>
      <c r="G783" s="13">
        <f>F783*(1+(IF('Attributes Inputs and Outputs'!$O$8=Inputs!$C$44,Inputs!$C$45,IF('Attributes Inputs and Outputs'!$O$8=Inputs!$D$44,Inputs!$D$45,IF('Attributes Inputs and Outputs'!$O$8=Inputs!$E$44,Inputs!$E$45,IF('Attributes Inputs and Outputs'!$O$8=Inputs!$F$44,Inputs!$F$45,Inputs!$G$45))))))</f>
        <v>8514</v>
      </c>
    </row>
    <row r="784" spans="1:7" x14ac:dyDescent="0.3">
      <c r="A784" t="s">
        <v>679</v>
      </c>
      <c r="B784" t="s">
        <v>694</v>
      </c>
      <c r="C784" s="13">
        <f>Inputs!C67*40</f>
        <v>3000</v>
      </c>
      <c r="D784" s="14"/>
      <c r="E784" s="13"/>
      <c r="F784" s="13"/>
      <c r="G784" s="13"/>
    </row>
    <row r="785" spans="1:7" x14ac:dyDescent="0.3">
      <c r="A785" t="s">
        <v>680</v>
      </c>
      <c r="B785" t="s">
        <v>695</v>
      </c>
      <c r="C785" s="13">
        <f>13*12*14</f>
        <v>2184</v>
      </c>
      <c r="D785" s="14"/>
      <c r="E785" s="13"/>
      <c r="F785" s="13">
        <f>SUM(C785:C786)</f>
        <v>3696</v>
      </c>
      <c r="G785" s="13">
        <f>F785*(1+(IF('Attributes Inputs and Outputs'!$O$8=Inputs!$C$44,Inputs!$C$45,IF('Attributes Inputs and Outputs'!$O$8=Inputs!$D$44,Inputs!$D$45,IF('Attributes Inputs and Outputs'!$O$8=Inputs!$E$44,Inputs!$E$45,IF('Attributes Inputs and Outputs'!$O$8=Inputs!$F$44,Inputs!$F$45,Inputs!$G$45))))))</f>
        <v>3696</v>
      </c>
    </row>
    <row r="786" spans="1:7" x14ac:dyDescent="0.3">
      <c r="A786" t="s">
        <v>681</v>
      </c>
      <c r="C786" s="13">
        <f>Inputs!C68*12*14</f>
        <v>1512</v>
      </c>
      <c r="D786" s="37"/>
      <c r="E786" s="13"/>
      <c r="F786" s="13"/>
      <c r="G786" s="13"/>
    </row>
    <row r="787" spans="1:7" x14ac:dyDescent="0.3">
      <c r="A787" t="s">
        <v>683</v>
      </c>
      <c r="B787" t="s">
        <v>688</v>
      </c>
      <c r="C787" s="13">
        <f>11.5*12*24+1500+450</f>
        <v>5262</v>
      </c>
      <c r="D787" s="37"/>
      <c r="E787" s="13"/>
      <c r="F787" s="13">
        <f>SUM(C787:C788)</f>
        <v>5622</v>
      </c>
      <c r="G787" s="13">
        <f>F787*(1+(IF('Attributes Inputs and Outputs'!$O$8=Inputs!$C$44,Inputs!$C$45,IF('Attributes Inputs and Outputs'!$O$8=Inputs!$D$44,Inputs!$D$45,IF('Attributes Inputs and Outputs'!$O$8=Inputs!$E$44,Inputs!$E$45,IF('Attributes Inputs and Outputs'!$O$8=Inputs!$F$44,Inputs!$F$45,Inputs!$G$45))))))</f>
        <v>5622</v>
      </c>
    </row>
    <row r="788" spans="1:7" x14ac:dyDescent="0.3">
      <c r="A788" t="s">
        <v>684</v>
      </c>
      <c r="B788" t="s">
        <v>694</v>
      </c>
      <c r="C788" s="13">
        <f>Inputs!C68*40</f>
        <v>360</v>
      </c>
      <c r="D788" s="37"/>
      <c r="E788" s="13"/>
      <c r="F788" s="13"/>
      <c r="G788" s="13"/>
    </row>
    <row r="789" spans="1:7" x14ac:dyDescent="0.3">
      <c r="A789" t="s">
        <v>685</v>
      </c>
      <c r="B789" t="s">
        <v>692</v>
      </c>
      <c r="C789" s="13">
        <f>10*12*24</f>
        <v>2880</v>
      </c>
      <c r="D789" s="37"/>
      <c r="E789" s="13"/>
      <c r="F789" s="13">
        <f>SUM(C789:C790)</f>
        <v>5472</v>
      </c>
      <c r="G789" s="13">
        <f>F789*(1+(IF('Attributes Inputs and Outputs'!$O$8=Inputs!$C$44,Inputs!$C$45,IF('Attributes Inputs and Outputs'!$O$8=Inputs!$D$44,Inputs!$D$45,IF('Attributes Inputs and Outputs'!$O$8=Inputs!$E$44,Inputs!$E$45,IF('Attributes Inputs and Outputs'!$O$8=Inputs!$F$44,Inputs!$F$45,Inputs!$G$45))))))</f>
        <v>5472</v>
      </c>
    </row>
    <row r="790" spans="1:7" x14ac:dyDescent="0.3">
      <c r="A790" t="s">
        <v>686</v>
      </c>
      <c r="C790" s="13">
        <f>Inputs!C68*12*24</f>
        <v>2592</v>
      </c>
      <c r="D790" s="14"/>
      <c r="E790" s="13"/>
      <c r="F790" s="13"/>
      <c r="G790" s="13"/>
    </row>
    <row r="791" spans="1:7" x14ac:dyDescent="0.3">
      <c r="D791" s="39" t="s">
        <v>130</v>
      </c>
      <c r="E791" s="40"/>
      <c r="F791" s="40">
        <f>MAX(F783, F785, F787, F789)</f>
        <v>8514</v>
      </c>
      <c r="G791" s="40">
        <f>MAX(G783, G785, G787, G789)</f>
        <v>8514</v>
      </c>
    </row>
    <row r="792" spans="1:7" x14ac:dyDescent="0.3">
      <c r="A792" s="7" t="s">
        <v>63</v>
      </c>
      <c r="B792" t="s">
        <v>675</v>
      </c>
      <c r="F792" s="13"/>
    </row>
    <row r="793" spans="1:7" x14ac:dyDescent="0.3">
      <c r="A793" t="s">
        <v>678</v>
      </c>
      <c r="B793" t="s">
        <v>697</v>
      </c>
      <c r="C793" s="13">
        <f>18*12*24+5000</f>
        <v>10184</v>
      </c>
      <c r="D793" s="37"/>
      <c r="E793" s="13"/>
      <c r="F793" s="13">
        <f>SUM(C793:C794)</f>
        <v>13934</v>
      </c>
      <c r="G793" s="13">
        <f>F793*(1+(IF('Attributes Inputs and Outputs'!$O$8=Inputs!$C$44,Inputs!$C$45,IF('Attributes Inputs and Outputs'!$O$8=Inputs!$D$44,Inputs!$D$45,IF('Attributes Inputs and Outputs'!$O$8=Inputs!$E$44,Inputs!$E$45,IF('Attributes Inputs and Outputs'!$O$8=Inputs!$F$44,Inputs!$F$45,Inputs!$G$45))))))</f>
        <v>13934</v>
      </c>
    </row>
    <row r="794" spans="1:7" x14ac:dyDescent="0.3">
      <c r="A794" t="s">
        <v>679</v>
      </c>
      <c r="B794" t="s">
        <v>698</v>
      </c>
      <c r="C794" s="13">
        <f>Inputs!C67*50</f>
        <v>3750</v>
      </c>
      <c r="D794" s="14"/>
      <c r="E794" s="13"/>
      <c r="F794" s="13"/>
      <c r="G794" s="13"/>
    </row>
    <row r="795" spans="1:7" x14ac:dyDescent="0.3">
      <c r="A795" t="s">
        <v>680</v>
      </c>
      <c r="B795" t="s">
        <v>699</v>
      </c>
      <c r="C795" s="13">
        <f>20*12*24</f>
        <v>5760</v>
      </c>
      <c r="D795" s="14"/>
      <c r="E795" s="13"/>
      <c r="F795" s="13">
        <f>SUM(C795:C796)</f>
        <v>8352</v>
      </c>
      <c r="G795" s="13">
        <f>F795*(1+(IF('Attributes Inputs and Outputs'!$O$8=Inputs!$C$44,Inputs!$C$45,IF('Attributes Inputs and Outputs'!$O$8=Inputs!$D$44,Inputs!$D$45,IF('Attributes Inputs and Outputs'!$O$8=Inputs!$E$44,Inputs!$E$45,IF('Attributes Inputs and Outputs'!$O$8=Inputs!$F$44,Inputs!$F$45,Inputs!$G$45))))))</f>
        <v>8352</v>
      </c>
    </row>
    <row r="796" spans="1:7" x14ac:dyDescent="0.3">
      <c r="A796" t="s">
        <v>681</v>
      </c>
      <c r="C796" s="13">
        <f>Inputs!C68*12*24</f>
        <v>2592</v>
      </c>
      <c r="D796" s="37"/>
      <c r="E796" s="13"/>
      <c r="F796" s="13"/>
      <c r="G796" s="13"/>
    </row>
    <row r="797" spans="1:7" x14ac:dyDescent="0.3">
      <c r="D797" s="39" t="s">
        <v>133</v>
      </c>
      <c r="E797" s="40"/>
      <c r="F797" s="40">
        <f>MAX(F793, F795)</f>
        <v>13934</v>
      </c>
      <c r="G797" s="40">
        <f>MAX(G793, G795)</f>
        <v>13934</v>
      </c>
    </row>
    <row r="798" spans="1:7" x14ac:dyDescent="0.3">
      <c r="A798" s="7" t="s">
        <v>64</v>
      </c>
      <c r="B798" t="s">
        <v>676</v>
      </c>
      <c r="F798" s="13"/>
      <c r="G798" t="s">
        <v>194</v>
      </c>
    </row>
    <row r="799" spans="1:7" x14ac:dyDescent="0.3">
      <c r="A799" t="s">
        <v>678</v>
      </c>
      <c r="B799" t="s">
        <v>697</v>
      </c>
      <c r="C799" s="13">
        <f>18*12*24+5000</f>
        <v>10184</v>
      </c>
      <c r="D799" s="37"/>
      <c r="E799" s="13">
        <f>SUM(C799:C800)</f>
        <v>13934</v>
      </c>
      <c r="F799" s="13">
        <f>SUM(E799,E803)</f>
        <v>24509</v>
      </c>
      <c r="G799" s="13">
        <f>F799*(1+(IF('Attributes Inputs and Outputs'!$O$8=Inputs!$C$44,Inputs!$C$45,IF('Attributes Inputs and Outputs'!$O$8=Inputs!$D$44,Inputs!$D$45,IF('Attributes Inputs and Outputs'!$O$8=Inputs!$E$44,Inputs!$E$45,IF('Attributes Inputs and Outputs'!$O$8=Inputs!$F$44,Inputs!$F$45,Inputs!$G$45))))))</f>
        <v>24509</v>
      </c>
    </row>
    <row r="800" spans="1:7" x14ac:dyDescent="0.3">
      <c r="A800" t="s">
        <v>679</v>
      </c>
      <c r="B800" t="s">
        <v>698</v>
      </c>
      <c r="C800" s="13">
        <f>Inputs!C67*50</f>
        <v>3750</v>
      </c>
      <c r="D800" s="14"/>
      <c r="E800" s="13"/>
      <c r="F800" s="13"/>
      <c r="G800" s="13"/>
    </row>
    <row r="801" spans="1:7" x14ac:dyDescent="0.3">
      <c r="A801" t="s">
        <v>680</v>
      </c>
      <c r="B801" t="s">
        <v>699</v>
      </c>
      <c r="C801" s="13">
        <f>20*12*24</f>
        <v>5760</v>
      </c>
      <c r="D801" s="14"/>
      <c r="E801" s="13">
        <f>SUM(C801:C802)</f>
        <v>8352</v>
      </c>
      <c r="F801" s="13">
        <f>SUM(E801,E803)</f>
        <v>18927</v>
      </c>
      <c r="G801" s="13">
        <f>F801</f>
        <v>18927</v>
      </c>
    </row>
    <row r="802" spans="1:7" x14ac:dyDescent="0.3">
      <c r="A802" t="s">
        <v>681</v>
      </c>
      <c r="C802" s="13">
        <f>Inputs!C68*12*24</f>
        <v>2592</v>
      </c>
      <c r="D802" s="37"/>
      <c r="E802" s="13"/>
      <c r="F802" s="13"/>
      <c r="G802" s="13"/>
    </row>
    <row r="803" spans="1:7" x14ac:dyDescent="0.3">
      <c r="A803" t="s">
        <v>25</v>
      </c>
      <c r="B803" t="s">
        <v>700</v>
      </c>
      <c r="C803" s="13">
        <f>3000+Inputs!C67*3/2*20+1500+Inputs!C67*25+350+300+IF('Packages Inputs and Outputs'!E55='Defaults and Ranges'!B53, 1000, IF('Packages Inputs and Outputs'!E55='Defaults and Ranges'!B54, 1300, IF('Packages Inputs and Outputs'!E55='Defaults and Ranges'!B55, 6000, 10000)))</f>
        <v>10575</v>
      </c>
      <c r="D803" s="37"/>
      <c r="E803" s="13">
        <f>C803</f>
        <v>10575</v>
      </c>
      <c r="F803" s="13"/>
      <c r="G803" s="13"/>
    </row>
    <row r="804" spans="1:7" x14ac:dyDescent="0.3">
      <c r="D804" s="39" t="s">
        <v>137</v>
      </c>
      <c r="E804" s="40"/>
      <c r="F804" s="40">
        <f>MAX(F799, F801)</f>
        <v>24509</v>
      </c>
      <c r="G804" s="40">
        <f>MAX(G799, G801)</f>
        <v>24509</v>
      </c>
    </row>
    <row r="805" spans="1:7" x14ac:dyDescent="0.3">
      <c r="B805">
        <f>14*24</f>
        <v>336</v>
      </c>
    </row>
    <row r="806" spans="1:7" x14ac:dyDescent="0.3">
      <c r="B806">
        <f>15*35</f>
        <v>525</v>
      </c>
      <c r="C806">
        <f>B806/B805</f>
        <v>1.5625</v>
      </c>
    </row>
    <row r="807" spans="1:7" x14ac:dyDescent="0.3"/>
    <row r="808" spans="1:7" x14ac:dyDescent="0.3">
      <c r="B808" s="7" t="s">
        <v>94</v>
      </c>
      <c r="D808" t="s">
        <v>749</v>
      </c>
      <c r="E808" t="s">
        <v>743</v>
      </c>
      <c r="G808" t="s">
        <v>690</v>
      </c>
    </row>
    <row r="809" spans="1:7" x14ac:dyDescent="0.3">
      <c r="B809" t="s">
        <v>1204</v>
      </c>
      <c r="D809" s="11">
        <f>IF('Attributes Calculations'!E16&lt;2000, 120, 120+'Attributes Calculations'!E16*0.0143)</f>
        <v>152.87569999999999</v>
      </c>
      <c r="E809" s="11">
        <f>IF('Attributes Calculations'!E16&lt;2000, 160, 160+'Attributes Calculations'!E16*0.0286)</f>
        <v>225.75139999999999</v>
      </c>
      <c r="F809" s="34"/>
    </row>
    <row r="810" spans="1:7" x14ac:dyDescent="0.3">
      <c r="A810" s="7" t="s">
        <v>61</v>
      </c>
      <c r="B810" t="s">
        <v>729</v>
      </c>
      <c r="E810" s="16" t="s">
        <v>696</v>
      </c>
      <c r="F810" s="16" t="s">
        <v>696</v>
      </c>
    </row>
    <row r="811" spans="1:7" x14ac:dyDescent="0.3">
      <c r="A811" t="s">
        <v>727</v>
      </c>
      <c r="B811" t="s">
        <v>740</v>
      </c>
      <c r="C811" s="13">
        <f>1500+500</f>
        <v>2000</v>
      </c>
      <c r="D811" s="37"/>
      <c r="E811" s="13"/>
      <c r="F811" s="13">
        <f>SUM(C811:C812)</f>
        <v>2300</v>
      </c>
      <c r="G811" s="13">
        <f>F811*(1+(IF('Attributes Inputs and Outputs'!$O$8=Inputs!$C$44,Inputs!$C$45,IF('Attributes Inputs and Outputs'!$O$8=Inputs!$D$44,Inputs!$D$45,IF('Attributes Inputs and Outputs'!$O$8=Inputs!$E$44,Inputs!$E$45,IF('Attributes Inputs and Outputs'!$O$8=Inputs!$F$44,Inputs!$F$45,Inputs!$G$45))))))</f>
        <v>2300</v>
      </c>
    </row>
    <row r="812" spans="1:7" x14ac:dyDescent="0.3">
      <c r="A812" t="s">
        <v>728</v>
      </c>
      <c r="B812" t="s">
        <v>730</v>
      </c>
      <c r="C812" s="13">
        <f>Inputs!C67*4</f>
        <v>300</v>
      </c>
      <c r="D812" s="9"/>
      <c r="E812" s="13"/>
      <c r="F812" s="13"/>
      <c r="G812" s="13"/>
    </row>
    <row r="813" spans="1:7" x14ac:dyDescent="0.3">
      <c r="A813" t="s">
        <v>725</v>
      </c>
      <c r="B813" t="s">
        <v>741</v>
      </c>
      <c r="C813" s="13"/>
      <c r="D813" s="14"/>
      <c r="E813" s="13"/>
      <c r="F813" s="13"/>
      <c r="G813" s="13"/>
    </row>
    <row r="814" spans="1:7" x14ac:dyDescent="0.3">
      <c r="A814" t="s">
        <v>726</v>
      </c>
      <c r="B814" t="s">
        <v>731</v>
      </c>
      <c r="C814" s="13"/>
      <c r="D814" s="37"/>
      <c r="E814" s="13"/>
      <c r="F814" s="13"/>
      <c r="G814" s="13"/>
    </row>
    <row r="815" spans="1:7" x14ac:dyDescent="0.3">
      <c r="D815" s="39" t="s">
        <v>127</v>
      </c>
      <c r="E815" s="40"/>
      <c r="F815" s="40">
        <f>MAX(F811, F813)</f>
        <v>2300</v>
      </c>
      <c r="G815" s="40">
        <f>MAX(G811, G813)</f>
        <v>2300</v>
      </c>
    </row>
    <row r="816" spans="1:7" x14ac:dyDescent="0.3">
      <c r="A816" s="7" t="s">
        <v>62</v>
      </c>
      <c r="B816" t="s">
        <v>744</v>
      </c>
      <c r="C816" s="13"/>
      <c r="D816" s="13"/>
      <c r="E816" s="13"/>
      <c r="F816" s="13"/>
    </row>
    <row r="817" spans="1:7" x14ac:dyDescent="0.3">
      <c r="A817" t="s">
        <v>727</v>
      </c>
      <c r="B817" t="s">
        <v>745</v>
      </c>
      <c r="C817" s="13">
        <f>1500+1500+9*(6*10+4*3)</f>
        <v>3648</v>
      </c>
      <c r="D817" s="37"/>
      <c r="E817" s="13"/>
      <c r="F817" s="13">
        <f>SUM(C817:C818)</f>
        <v>4596</v>
      </c>
      <c r="G817" s="13">
        <f>F817*(1+(IF('Attributes Inputs and Outputs'!$O$8=Inputs!$C$44,Inputs!$C$45,IF('Attributes Inputs and Outputs'!$O$8=Inputs!$D$44,Inputs!$D$45,IF('Attributes Inputs and Outputs'!$O$8=Inputs!$E$44,Inputs!$E$45,IF('Attributes Inputs and Outputs'!$O$8=Inputs!$F$44,Inputs!$F$45,Inputs!$G$45))))))</f>
        <v>4596</v>
      </c>
    </row>
    <row r="818" spans="1:7" x14ac:dyDescent="0.3">
      <c r="A818" t="s">
        <v>728</v>
      </c>
      <c r="B818" t="s">
        <v>738</v>
      </c>
      <c r="C818" s="13">
        <f>Inputs!C67*4+Inputs!C68*(6*10+4*3)</f>
        <v>948</v>
      </c>
      <c r="D818" s="14"/>
      <c r="E818" s="13"/>
      <c r="F818" s="13"/>
      <c r="G818" s="13"/>
    </row>
    <row r="819" spans="1:7" x14ac:dyDescent="0.3">
      <c r="A819" t="s">
        <v>732</v>
      </c>
      <c r="B819" t="s">
        <v>739</v>
      </c>
      <c r="C819" s="13"/>
      <c r="D819" s="14"/>
      <c r="E819" s="13"/>
      <c r="F819" s="13">
        <f>SUM(C819:C820)</f>
        <v>0</v>
      </c>
      <c r="G819" s="13">
        <f>F819*(1+(IF('Attributes Inputs and Outputs'!$O$8=Inputs!$C$44,Inputs!$C$45,IF('Attributes Inputs and Outputs'!$O$8=Inputs!$D$44,Inputs!$D$45,IF('Attributes Inputs and Outputs'!$O$8=Inputs!$E$44,Inputs!$E$45,IF('Attributes Inputs and Outputs'!$O$8=Inputs!$F$44,Inputs!$F$45,Inputs!$G$45))))))</f>
        <v>0</v>
      </c>
    </row>
    <row r="820" spans="1:7" x14ac:dyDescent="0.3">
      <c r="A820" t="s">
        <v>733</v>
      </c>
      <c r="B820" t="s">
        <v>731</v>
      </c>
      <c r="C820" s="13"/>
      <c r="D820" s="37"/>
      <c r="E820" s="13"/>
      <c r="F820" s="13"/>
      <c r="G820" s="13"/>
    </row>
    <row r="821" spans="1:7" x14ac:dyDescent="0.3">
      <c r="A821" t="s">
        <v>734</v>
      </c>
      <c r="B821" t="s">
        <v>740</v>
      </c>
      <c r="C821" s="13">
        <f>2500+2*($E$809-8*20)+600*($E$809/(8*10))</f>
        <v>4324.6383000000005</v>
      </c>
      <c r="D821" s="37"/>
      <c r="E821" s="13"/>
      <c r="F821" s="13">
        <f>SUM(C821:C822)</f>
        <v>4856.9919285000005</v>
      </c>
      <c r="G821" s="13">
        <f>F821*(1+(IF('Attributes Inputs and Outputs'!$O$8=Inputs!$C$44,Inputs!$C$45,IF('Attributes Inputs and Outputs'!$O$8=Inputs!$D$44,Inputs!$D$45,IF('Attributes Inputs and Outputs'!$O$8=Inputs!$E$44,Inputs!$E$45,IF('Attributes Inputs and Outputs'!$O$8=Inputs!$F$44,Inputs!$F$45,Inputs!$G$45))))))</f>
        <v>4856.9919285000005</v>
      </c>
    </row>
    <row r="822" spans="1:7" x14ac:dyDescent="0.3">
      <c r="A822" t="s">
        <v>735</v>
      </c>
      <c r="B822" t="s">
        <v>742</v>
      </c>
      <c r="C822" s="13">
        <f>Inputs!C67*(6+($E$809-160)*0.0167)</f>
        <v>532.35362850000001</v>
      </c>
      <c r="D822" s="37"/>
      <c r="E822" s="13"/>
      <c r="F822" s="13"/>
      <c r="G822" s="13"/>
    </row>
    <row r="823" spans="1:7" x14ac:dyDescent="0.3">
      <c r="A823" t="s">
        <v>737</v>
      </c>
      <c r="B823" t="s">
        <v>741</v>
      </c>
      <c r="C823" s="13"/>
      <c r="D823" s="37"/>
      <c r="E823" s="13"/>
      <c r="F823" s="13">
        <f>SUM(C823:C824)</f>
        <v>0</v>
      </c>
      <c r="G823" s="13">
        <f>F823*(1+(IF('Attributes Inputs and Outputs'!$O$8=Inputs!$C$44,Inputs!$C$45,IF('Attributes Inputs and Outputs'!$O$8=Inputs!$D$44,Inputs!$D$45,IF('Attributes Inputs and Outputs'!$O$8=Inputs!$E$44,Inputs!$E$45,IF('Attributes Inputs and Outputs'!$O$8=Inputs!$F$44,Inputs!$F$45,Inputs!$G$45))))))</f>
        <v>0</v>
      </c>
    </row>
    <row r="824" spans="1:7" x14ac:dyDescent="0.3">
      <c r="A824" t="s">
        <v>736</v>
      </c>
      <c r="B824" t="s">
        <v>746</v>
      </c>
      <c r="C824" s="13"/>
      <c r="D824" s="14"/>
      <c r="E824" s="13"/>
      <c r="F824" s="13"/>
      <c r="G824" s="13"/>
    </row>
    <row r="825" spans="1:7" x14ac:dyDescent="0.3">
      <c r="D825" s="39" t="s">
        <v>130</v>
      </c>
      <c r="E825" s="40"/>
      <c r="F825" s="40">
        <f>MAX(F817, F819, F821, F823)</f>
        <v>4856.9919285000005</v>
      </c>
      <c r="G825" s="40">
        <f>MAX(G817, G819, G821, G823)</f>
        <v>4856.9919285000005</v>
      </c>
    </row>
    <row r="826" spans="1:7" x14ac:dyDescent="0.3">
      <c r="A826" s="7" t="s">
        <v>63</v>
      </c>
      <c r="B826" t="s">
        <v>747</v>
      </c>
      <c r="F826" s="13"/>
    </row>
    <row r="827" spans="1:7" x14ac:dyDescent="0.3">
      <c r="A827" t="s">
        <v>727</v>
      </c>
      <c r="B827" t="s">
        <v>748</v>
      </c>
      <c r="C827" s="13">
        <f>2000+2*($D$809-8*15)+600*($D$809/(8*10))+13*($D$809+10*4)</f>
        <v>5719.7032500000005</v>
      </c>
      <c r="D827" s="37"/>
      <c r="E827" s="13"/>
      <c r="F827" s="13">
        <f>SUM(C827:C828)</f>
        <v>8136.9519075000007</v>
      </c>
      <c r="G827" s="13">
        <f>F827*(1+(IF('Attributes Inputs and Outputs'!$O$8=Inputs!$C$44,Inputs!$C$45,IF('Attributes Inputs and Outputs'!$O$8=Inputs!$D$44,Inputs!$D$45,IF('Attributes Inputs and Outputs'!$O$8=Inputs!$E$44,Inputs!$E$45,IF('Attributes Inputs and Outputs'!$O$8=Inputs!$F$44,Inputs!$F$45,Inputs!$G$45))))))</f>
        <v>8136.9519075000007</v>
      </c>
    </row>
    <row r="828" spans="1:7" x14ac:dyDescent="0.3">
      <c r="A828" t="s">
        <v>728</v>
      </c>
      <c r="B828" t="s">
        <v>1245</v>
      </c>
      <c r="C828" s="14">
        <f>Inputs!C67*(8+($D$809-120)*0.033)+Inputs!C68*($D$809+10*4)</f>
        <v>2417.2486575000003</v>
      </c>
      <c r="D828" s="14"/>
      <c r="E828" s="13"/>
      <c r="F828" s="13"/>
      <c r="G828" s="13"/>
    </row>
    <row r="829" spans="1:7" x14ac:dyDescent="0.3">
      <c r="A829" t="s">
        <v>725</v>
      </c>
      <c r="B829" t="s">
        <v>750</v>
      </c>
      <c r="C829" s="13"/>
      <c r="D829" s="14"/>
      <c r="E829" s="13"/>
      <c r="F829" s="13">
        <f>SUM(C829:C830)</f>
        <v>0</v>
      </c>
      <c r="G829" s="13">
        <f>F829*(1+(IF('Attributes Inputs and Outputs'!$O$8=Inputs!$C$44,Inputs!$C$45,IF('Attributes Inputs and Outputs'!$O$8=Inputs!$D$44,Inputs!$D$45,IF('Attributes Inputs and Outputs'!$O$8=Inputs!$E$44,Inputs!$E$45,IF('Attributes Inputs and Outputs'!$O$8=Inputs!$F$44,Inputs!$F$45,Inputs!$G$45))))))</f>
        <v>0</v>
      </c>
    </row>
    <row r="830" spans="1:7" x14ac:dyDescent="0.3">
      <c r="A830" t="s">
        <v>726</v>
      </c>
      <c r="B830" t="s">
        <v>751</v>
      </c>
      <c r="C830" s="13"/>
      <c r="D830" s="37"/>
      <c r="E830" s="13"/>
      <c r="F830" s="13"/>
      <c r="G830" s="13"/>
    </row>
    <row r="831" spans="1:7" x14ac:dyDescent="0.3">
      <c r="D831" s="39" t="s">
        <v>133</v>
      </c>
      <c r="E831" s="40"/>
      <c r="F831" s="40">
        <f>MAX(F827, F829)</f>
        <v>8136.9519075000007</v>
      </c>
      <c r="G831" s="40">
        <f>MAX(G827, G829)</f>
        <v>8136.9519075000007</v>
      </c>
    </row>
    <row r="832" spans="1:7" x14ac:dyDescent="0.3">
      <c r="A832" s="7" t="s">
        <v>64</v>
      </c>
      <c r="B832" t="s">
        <v>752</v>
      </c>
      <c r="F832" s="13"/>
      <c r="G832" t="s">
        <v>194</v>
      </c>
    </row>
    <row r="833" spans="1:7" x14ac:dyDescent="0.3">
      <c r="A833" t="s">
        <v>727</v>
      </c>
      <c r="B833" t="s">
        <v>753</v>
      </c>
      <c r="C833" s="13">
        <f>2500+2*($E$809-8*20)+1200*($E$809/(8*10))+17*($E$809+10*4)</f>
        <v>10535.5476</v>
      </c>
      <c r="D833" s="37"/>
      <c r="E833" s="13"/>
      <c r="F833" s="13">
        <f>SUM(C833:C834)</f>
        <v>13800.594075000001</v>
      </c>
      <c r="G833" s="13">
        <f>F833*(1+(IF('Attributes Inputs and Outputs'!$O$8=Inputs!$C$44,Inputs!$C$45,IF('Attributes Inputs and Outputs'!$O$8=Inputs!$D$44,Inputs!$D$45,IF('Attributes Inputs and Outputs'!$O$8=Inputs!$E$44,Inputs!$E$45,IF('Attributes Inputs and Outputs'!$O$8=Inputs!$F$44,Inputs!$F$45,Inputs!$G$45))))))</f>
        <v>13800.594075000001</v>
      </c>
    </row>
    <row r="834" spans="1:7" x14ac:dyDescent="0.3">
      <c r="A834" t="s">
        <v>728</v>
      </c>
      <c r="B834" t="s">
        <v>1244</v>
      </c>
      <c r="C834" s="14">
        <f>Inputs!C67*(10+($E$809-160)*0.025)+Inputs!C68*($E$809+10*4)</f>
        <v>3265.0464750000001</v>
      </c>
      <c r="D834" s="14"/>
      <c r="E834" s="13"/>
      <c r="F834" s="13"/>
      <c r="G834" s="13"/>
    </row>
    <row r="835" spans="1:7" x14ac:dyDescent="0.3">
      <c r="A835" t="s">
        <v>725</v>
      </c>
      <c r="B835" t="s">
        <v>750</v>
      </c>
      <c r="C835" s="13"/>
      <c r="D835" s="14"/>
      <c r="E835" s="13"/>
      <c r="F835" s="13">
        <f>SUM(C835:C836)</f>
        <v>0</v>
      </c>
      <c r="G835" s="13">
        <f>F835*(1+(IF('Attributes Inputs and Outputs'!$O$8=Inputs!$C$44,Inputs!$C$45,IF('Attributes Inputs and Outputs'!$O$8=Inputs!$D$44,Inputs!$D$45,IF('Attributes Inputs and Outputs'!$O$8=Inputs!$E$44,Inputs!$E$45,IF('Attributes Inputs and Outputs'!$O$8=Inputs!$F$44,Inputs!$F$45,Inputs!$G$45))))))</f>
        <v>0</v>
      </c>
    </row>
    <row r="836" spans="1:7" x14ac:dyDescent="0.3">
      <c r="A836" t="s">
        <v>726</v>
      </c>
      <c r="B836" t="s">
        <v>746</v>
      </c>
      <c r="C836" s="13"/>
      <c r="D836" s="37"/>
      <c r="E836" s="13"/>
      <c r="F836" s="13"/>
      <c r="G836" s="13"/>
    </row>
    <row r="837" spans="1:7" x14ac:dyDescent="0.3">
      <c r="D837" s="39" t="s">
        <v>137</v>
      </c>
      <c r="E837" s="40"/>
      <c r="F837" s="40">
        <f>MAX(F833, F835)</f>
        <v>13800.594075000001</v>
      </c>
      <c r="G837" s="40">
        <f>MAX(G833, G835)</f>
        <v>13800.594075000001</v>
      </c>
    </row>
    <row r="841" spans="1:7" x14ac:dyDescent="0.3">
      <c r="G841" s="16"/>
    </row>
    <row r="842" spans="1:7" x14ac:dyDescent="0.3">
      <c r="B842" t="s">
        <v>95</v>
      </c>
      <c r="D842" t="s">
        <v>660</v>
      </c>
      <c r="E842" s="11"/>
      <c r="F842" s="16"/>
      <c r="G842" s="13" t="s">
        <v>55</v>
      </c>
    </row>
    <row r="843" spans="1:7" x14ac:dyDescent="0.3">
      <c r="A843" s="7" t="s">
        <v>61</v>
      </c>
      <c r="D843" s="11"/>
      <c r="E843" s="11"/>
      <c r="F843" s="11"/>
    </row>
    <row r="844" spans="1:7" x14ac:dyDescent="0.3">
      <c r="A844" t="s">
        <v>754</v>
      </c>
      <c r="B844" s="63" t="s">
        <v>757</v>
      </c>
      <c r="D844" s="48">
        <v>1</v>
      </c>
      <c r="E844" s="48"/>
      <c r="F844" s="48"/>
    </row>
    <row r="845" spans="1:7" x14ac:dyDescent="0.3">
      <c r="A845" t="s">
        <v>755</v>
      </c>
      <c r="B845" t="s">
        <v>1253</v>
      </c>
      <c r="D845" s="16">
        <v>80</v>
      </c>
      <c r="E845" s="48"/>
      <c r="F845" s="16"/>
    </row>
    <row r="846" spans="1:7" x14ac:dyDescent="0.3">
      <c r="A846" t="s">
        <v>756</v>
      </c>
      <c r="B846" t="s">
        <v>1143</v>
      </c>
      <c r="D846" s="16">
        <f>250+50+100</f>
        <v>400</v>
      </c>
      <c r="E846" s="48"/>
      <c r="F846" s="48"/>
      <c r="G846" s="13">
        <f>D846*D844+D845</f>
        <v>480</v>
      </c>
    </row>
    <row r="847" spans="1:7" x14ac:dyDescent="0.3">
      <c r="A847" t="s">
        <v>758</v>
      </c>
      <c r="B847" s="63" t="s">
        <v>764</v>
      </c>
      <c r="C847" s="13"/>
      <c r="D847" s="48">
        <v>1</v>
      </c>
      <c r="E847" s="13"/>
      <c r="F847" s="13"/>
      <c r="G847" s="13"/>
    </row>
    <row r="848" spans="1:7" x14ac:dyDescent="0.3">
      <c r="A848" t="s">
        <v>759</v>
      </c>
      <c r="B848" t="s">
        <v>1253</v>
      </c>
      <c r="D848" s="16">
        <v>80</v>
      </c>
    </row>
    <row r="849" spans="1:7" x14ac:dyDescent="0.3">
      <c r="A849" t="s">
        <v>760</v>
      </c>
      <c r="B849" t="s">
        <v>770</v>
      </c>
      <c r="D849" s="16">
        <v>1300</v>
      </c>
      <c r="G849" s="13">
        <f>D849*D847+D848</f>
        <v>1380</v>
      </c>
    </row>
    <row r="850" spans="1:7" x14ac:dyDescent="0.3">
      <c r="A850" t="s">
        <v>761</v>
      </c>
      <c r="B850" s="63" t="s">
        <v>757</v>
      </c>
      <c r="D850" s="48">
        <v>1</v>
      </c>
      <c r="E850" s="13"/>
      <c r="F850" s="13"/>
      <c r="G850" s="13"/>
    </row>
    <row r="851" spans="1:7" x14ac:dyDescent="0.3">
      <c r="A851" t="s">
        <v>762</v>
      </c>
      <c r="B851" t="s">
        <v>1253</v>
      </c>
      <c r="D851" s="16">
        <v>80</v>
      </c>
    </row>
    <row r="852" spans="1:7" x14ac:dyDescent="0.3">
      <c r="A852" t="s">
        <v>763</v>
      </c>
      <c r="B852" t="s">
        <v>1254</v>
      </c>
      <c r="D852" s="16">
        <f>250+50+100</f>
        <v>400</v>
      </c>
      <c r="G852" s="13">
        <f>IF('Attributes Inputs and Outputs'!$E$8='Defaults and Ranges'!$G$24, 0, D852*D850+D851)</f>
        <v>480</v>
      </c>
    </row>
    <row r="853" spans="1:7" x14ac:dyDescent="0.3">
      <c r="D853" s="40"/>
      <c r="E853" s="40"/>
      <c r="F853" s="39" t="s">
        <v>127</v>
      </c>
      <c r="G853" s="40">
        <f>SUM(G846,G849,G852)</f>
        <v>2340</v>
      </c>
    </row>
    <row r="854" spans="1:7" x14ac:dyDescent="0.3">
      <c r="A854" s="7" t="s">
        <v>62</v>
      </c>
      <c r="C854" s="13"/>
      <c r="D854" t="s">
        <v>645</v>
      </c>
      <c r="E854" s="11" t="s">
        <v>648</v>
      </c>
      <c r="F854" s="11" t="s">
        <v>649</v>
      </c>
    </row>
    <row r="855" spans="1:7" x14ac:dyDescent="0.3">
      <c r="A855" t="s">
        <v>754</v>
      </c>
      <c r="B855" s="63" t="s">
        <v>766</v>
      </c>
      <c r="D855" s="58">
        <f>1+IF('Attributes Inputs and Outputs'!$L$8&gt;9, 0.25, 0)</f>
        <v>1</v>
      </c>
      <c r="E855" s="48"/>
      <c r="F855" s="48"/>
      <c r="G855" s="16"/>
    </row>
    <row r="856" spans="1:7" x14ac:dyDescent="0.3">
      <c r="A856" t="s">
        <v>755</v>
      </c>
      <c r="B856" t="s">
        <v>1252</v>
      </c>
      <c r="D856" s="16">
        <v>150</v>
      </c>
      <c r="E856" s="48"/>
      <c r="F856" s="16"/>
      <c r="G856" s="13"/>
    </row>
    <row r="857" spans="1:7" x14ac:dyDescent="0.3">
      <c r="A857" t="s">
        <v>756</v>
      </c>
      <c r="B857" t="s">
        <v>765</v>
      </c>
      <c r="D857" s="16">
        <f>1000+50+750</f>
        <v>1800</v>
      </c>
      <c r="E857" s="48"/>
      <c r="F857" s="48"/>
      <c r="G857" s="13">
        <f>D857*D855+D856</f>
        <v>1950</v>
      </c>
    </row>
    <row r="858" spans="1:7" x14ac:dyDescent="0.3">
      <c r="A858" t="s">
        <v>758</v>
      </c>
      <c r="B858" s="63" t="s">
        <v>767</v>
      </c>
      <c r="C858" s="13"/>
      <c r="D858" s="58">
        <f>1+IF('Attributes Inputs and Outputs'!$L$8&gt;9, 0.25, 0)</f>
        <v>1</v>
      </c>
      <c r="E858" s="13"/>
      <c r="F858" s="13"/>
      <c r="G858" s="13"/>
    </row>
    <row r="859" spans="1:7" x14ac:dyDescent="0.3">
      <c r="A859" t="s">
        <v>759</v>
      </c>
      <c r="B859" t="s">
        <v>1252</v>
      </c>
      <c r="D859" s="16">
        <v>150</v>
      </c>
      <c r="E859" s="13"/>
      <c r="F859" s="13"/>
    </row>
    <row r="860" spans="1:7" x14ac:dyDescent="0.3">
      <c r="A860" t="s">
        <v>760</v>
      </c>
      <c r="B860" t="s">
        <v>1254</v>
      </c>
      <c r="D860" s="16">
        <v>1500</v>
      </c>
      <c r="E860" s="13"/>
      <c r="F860" s="13"/>
      <c r="G860" s="13">
        <f>D860*D858+D859</f>
        <v>1650</v>
      </c>
    </row>
    <row r="861" spans="1:7" x14ac:dyDescent="0.3">
      <c r="A861" t="s">
        <v>761</v>
      </c>
      <c r="B861" s="63" t="s">
        <v>767</v>
      </c>
      <c r="C861" s="13"/>
      <c r="D861" s="58">
        <f>1+IF('Attributes Inputs and Outputs'!$K$8&gt;9, 0.25, 0)</f>
        <v>1</v>
      </c>
      <c r="E861" s="13"/>
      <c r="F861" s="13"/>
      <c r="G861" s="13"/>
    </row>
    <row r="862" spans="1:7" x14ac:dyDescent="0.3">
      <c r="A862" t="s">
        <v>762</v>
      </c>
      <c r="B862" t="s">
        <v>1252</v>
      </c>
      <c r="C862" s="13"/>
      <c r="D862" s="16">
        <v>150</v>
      </c>
      <c r="E862" s="13"/>
      <c r="F862" s="13"/>
    </row>
    <row r="863" spans="1:7" x14ac:dyDescent="0.3">
      <c r="A863" t="s">
        <v>763</v>
      </c>
      <c r="B863" t="s">
        <v>1254</v>
      </c>
      <c r="C863" s="13"/>
      <c r="D863" s="16">
        <v>1500</v>
      </c>
      <c r="E863" s="13"/>
      <c r="F863" s="13"/>
      <c r="G863" s="13">
        <f>IF('Attributes Inputs and Outputs'!$E$8='Defaults and Ranges'!$G$24, 0, D863*D861+D862)</f>
        <v>1650</v>
      </c>
    </row>
    <row r="864" spans="1:7" x14ac:dyDescent="0.3">
      <c r="D864" s="39"/>
      <c r="E864" s="40"/>
      <c r="F864" s="39" t="s">
        <v>130</v>
      </c>
      <c r="G864" s="40">
        <f>SUM(G857,G860,G863)</f>
        <v>5250</v>
      </c>
    </row>
    <row r="865" spans="1:7" x14ac:dyDescent="0.3">
      <c r="A865" s="7" t="s">
        <v>63</v>
      </c>
      <c r="D865" t="s">
        <v>645</v>
      </c>
      <c r="E865" s="11" t="s">
        <v>648</v>
      </c>
      <c r="F865" s="11" t="s">
        <v>649</v>
      </c>
    </row>
    <row r="866" spans="1:7" x14ac:dyDescent="0.3">
      <c r="A866" t="s">
        <v>754</v>
      </c>
      <c r="B866" s="63" t="s">
        <v>768</v>
      </c>
      <c r="D866" s="58">
        <f>1+IF('Attributes Inputs and Outputs'!$L$8&gt;9, 0.25, 0)</f>
        <v>1</v>
      </c>
      <c r="E866" s="48"/>
      <c r="F866" s="48"/>
      <c r="G866" s="16"/>
    </row>
    <row r="867" spans="1:7" x14ac:dyDescent="0.3">
      <c r="A867" t="s">
        <v>755</v>
      </c>
      <c r="B867" t="s">
        <v>1251</v>
      </c>
      <c r="D867" s="16">
        <v>200</v>
      </c>
      <c r="E867" s="48"/>
      <c r="F867" s="16"/>
      <c r="G867" s="13"/>
    </row>
    <row r="868" spans="1:7" x14ac:dyDescent="0.3">
      <c r="A868" t="s">
        <v>756</v>
      </c>
      <c r="B868" t="s">
        <v>769</v>
      </c>
      <c r="D868" s="16">
        <f>4500+50+1000</f>
        <v>5550</v>
      </c>
      <c r="E868" s="48"/>
      <c r="F868" s="48"/>
      <c r="G868" s="13">
        <f>D868*D866+D867</f>
        <v>5750</v>
      </c>
    </row>
    <row r="869" spans="1:7" x14ac:dyDescent="0.3">
      <c r="A869" t="s">
        <v>758</v>
      </c>
      <c r="B869" s="63" t="s">
        <v>767</v>
      </c>
      <c r="C869" s="13"/>
      <c r="D869" s="58">
        <f>1+IF('Attributes Inputs and Outputs'!$L$8&gt;9, 0.25, 0)</f>
        <v>1</v>
      </c>
      <c r="E869" s="13"/>
      <c r="F869" s="13"/>
      <c r="G869" s="13"/>
    </row>
    <row r="870" spans="1:7" x14ac:dyDescent="0.3">
      <c r="A870" t="s">
        <v>759</v>
      </c>
      <c r="B870" t="s">
        <v>1251</v>
      </c>
      <c r="D870" s="16">
        <v>200</v>
      </c>
      <c r="E870" s="13"/>
      <c r="F870" s="13"/>
    </row>
    <row r="871" spans="1:7" x14ac:dyDescent="0.3">
      <c r="A871" t="s">
        <v>760</v>
      </c>
      <c r="B871" t="s">
        <v>1255</v>
      </c>
      <c r="D871" s="16">
        <v>2500</v>
      </c>
      <c r="E871" s="13"/>
      <c r="F871" s="13"/>
      <c r="G871" s="13">
        <f>D871*D869+D870</f>
        <v>2700</v>
      </c>
    </row>
    <row r="872" spans="1:7" x14ac:dyDescent="0.3">
      <c r="A872" t="s">
        <v>761</v>
      </c>
      <c r="B872" s="63" t="s">
        <v>767</v>
      </c>
      <c r="C872" s="13"/>
      <c r="D872" s="58">
        <f>1+IF('Attributes Inputs and Outputs'!$K$8&gt;9, 0.25, 0)</f>
        <v>1</v>
      </c>
      <c r="E872" s="13"/>
      <c r="F872" s="13"/>
      <c r="G872" s="13"/>
    </row>
    <row r="873" spans="1:7" x14ac:dyDescent="0.3">
      <c r="A873" t="s">
        <v>762</v>
      </c>
      <c r="B873" t="s">
        <v>1251</v>
      </c>
      <c r="C873" s="13"/>
      <c r="D873" s="16">
        <v>200</v>
      </c>
      <c r="E873" s="13"/>
      <c r="F873" s="13"/>
    </row>
    <row r="874" spans="1:7" x14ac:dyDescent="0.3">
      <c r="A874" t="s">
        <v>763</v>
      </c>
      <c r="B874" t="s">
        <v>1255</v>
      </c>
      <c r="C874" s="13"/>
      <c r="D874" s="16">
        <v>2500</v>
      </c>
      <c r="E874" s="13"/>
      <c r="F874" s="13"/>
      <c r="G874" s="13">
        <f>IF('Attributes Inputs and Outputs'!$E$8='Defaults and Ranges'!$G$24, 0, D874*D872+D873)</f>
        <v>2700</v>
      </c>
    </row>
    <row r="875" spans="1:7" x14ac:dyDescent="0.3">
      <c r="D875" s="39"/>
      <c r="E875" s="40"/>
      <c r="F875" s="39" t="s">
        <v>133</v>
      </c>
      <c r="G875" s="40">
        <f>SUM(G868,G871,G874)</f>
        <v>11150</v>
      </c>
    </row>
    <row r="876" spans="1:7" x14ac:dyDescent="0.3">
      <c r="A876" s="7" t="s">
        <v>64</v>
      </c>
      <c r="D876" t="s">
        <v>645</v>
      </c>
      <c r="E876" s="11" t="s">
        <v>648</v>
      </c>
      <c r="F876" s="11" t="s">
        <v>649</v>
      </c>
    </row>
    <row r="877" spans="1:7" x14ac:dyDescent="0.3">
      <c r="A877" t="s">
        <v>754</v>
      </c>
      <c r="B877" s="63" t="s">
        <v>1249</v>
      </c>
      <c r="D877" s="58">
        <v>1</v>
      </c>
      <c r="E877" s="48"/>
      <c r="F877" s="48"/>
      <c r="G877" s="16"/>
    </row>
    <row r="878" spans="1:7" x14ac:dyDescent="0.3">
      <c r="A878" t="s">
        <v>755</v>
      </c>
      <c r="B878" t="s">
        <v>1250</v>
      </c>
      <c r="D878" s="16">
        <v>300</v>
      </c>
      <c r="E878" s="48"/>
      <c r="F878" s="16"/>
      <c r="G878" s="13"/>
    </row>
    <row r="879" spans="1:7" x14ac:dyDescent="0.3">
      <c r="A879" t="s">
        <v>756</v>
      </c>
      <c r="B879" s="63" t="s">
        <v>1249</v>
      </c>
      <c r="D879" s="16">
        <v>9000</v>
      </c>
      <c r="E879" s="48"/>
      <c r="F879" s="48"/>
      <c r="G879" s="13">
        <f>D879*D877+D878</f>
        <v>9300</v>
      </c>
    </row>
    <row r="880" spans="1:7" x14ac:dyDescent="0.3">
      <c r="A880" t="s">
        <v>758</v>
      </c>
      <c r="B880" s="63" t="s">
        <v>767</v>
      </c>
      <c r="C880" s="13"/>
      <c r="D880" s="58">
        <f>1+IF('Attributes Inputs and Outputs'!$L$8&gt;9, 0.25, 0)</f>
        <v>1</v>
      </c>
      <c r="E880" s="13"/>
      <c r="F880" s="13"/>
      <c r="G880" s="13"/>
    </row>
    <row r="881" spans="1:13" x14ac:dyDescent="0.3">
      <c r="A881" t="s">
        <v>759</v>
      </c>
      <c r="B881" t="s">
        <v>1250</v>
      </c>
      <c r="C881" s="13"/>
      <c r="D881" s="16">
        <v>300</v>
      </c>
      <c r="E881" s="13"/>
      <c r="F881" s="13"/>
    </row>
    <row r="882" spans="1:13" x14ac:dyDescent="0.3">
      <c r="A882" t="s">
        <v>760</v>
      </c>
      <c r="B882" t="s">
        <v>1256</v>
      </c>
      <c r="C882" s="13"/>
      <c r="D882" s="16">
        <v>4500</v>
      </c>
      <c r="E882" s="13"/>
      <c r="F882" s="13"/>
      <c r="G882" s="13">
        <f>D882*D880+D881</f>
        <v>4800</v>
      </c>
    </row>
    <row r="883" spans="1:13" x14ac:dyDescent="0.3">
      <c r="A883" t="s">
        <v>761</v>
      </c>
      <c r="B883" s="63" t="s">
        <v>767</v>
      </c>
      <c r="C883" s="13"/>
      <c r="D883" s="58">
        <f>1+IF('Attributes Inputs and Outputs'!$K$8&gt;9, 0.25, 0)</f>
        <v>1</v>
      </c>
      <c r="E883" s="13"/>
      <c r="F883" s="13"/>
      <c r="G883" s="13"/>
    </row>
    <row r="884" spans="1:13" x14ac:dyDescent="0.3">
      <c r="A884" t="s">
        <v>762</v>
      </c>
      <c r="B884" t="s">
        <v>1250</v>
      </c>
      <c r="C884" s="13"/>
      <c r="D884" s="16">
        <v>300</v>
      </c>
      <c r="E884" s="13"/>
      <c r="F884" s="13"/>
    </row>
    <row r="885" spans="1:13" x14ac:dyDescent="0.3">
      <c r="A885" t="s">
        <v>763</v>
      </c>
      <c r="B885" t="s">
        <v>1256</v>
      </c>
      <c r="C885" s="13"/>
      <c r="D885" s="16">
        <v>4500</v>
      </c>
      <c r="E885" s="13"/>
      <c r="F885" s="13"/>
      <c r="G885" s="13">
        <f>IF('Attributes Inputs and Outputs'!$E$8='Defaults and Ranges'!$G$24, 0, D885*D883+D884)</f>
        <v>4800</v>
      </c>
    </row>
    <row r="886" spans="1:13" x14ac:dyDescent="0.3">
      <c r="D886" s="39"/>
      <c r="E886" s="40"/>
      <c r="F886" s="39" t="s">
        <v>137</v>
      </c>
      <c r="G886" s="40">
        <f>SUM(G879,G882,G885)</f>
        <v>18900</v>
      </c>
    </row>
    <row r="887" spans="1:13" x14ac:dyDescent="0.3">
      <c r="B887" s="64"/>
    </row>
    <row r="888" spans="1:13" x14ac:dyDescent="0.3">
      <c r="B888" s="64"/>
    </row>
    <row r="889" spans="1:13" x14ac:dyDescent="0.3">
      <c r="B889" s="64"/>
      <c r="D889" s="11"/>
    </row>
    <row r="890" spans="1:13" x14ac:dyDescent="0.3">
      <c r="C890" t="s">
        <v>796</v>
      </c>
      <c r="D890" t="s">
        <v>795</v>
      </c>
      <c r="E890" t="s">
        <v>782</v>
      </c>
      <c r="F890" t="s">
        <v>783</v>
      </c>
      <c r="G890" t="s">
        <v>690</v>
      </c>
      <c r="I890" t="s">
        <v>796</v>
      </c>
      <c r="J890" t="s">
        <v>795</v>
      </c>
      <c r="K890" t="s">
        <v>782</v>
      </c>
      <c r="L890" t="s">
        <v>783</v>
      </c>
      <c r="M890" t="s">
        <v>690</v>
      </c>
    </row>
    <row r="891" spans="1:13" x14ac:dyDescent="0.3">
      <c r="B891" t="s">
        <v>807</v>
      </c>
      <c r="C891" s="11">
        <f>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 ))</f>
        <v>149.63956696007912</v>
      </c>
      <c r="D891">
        <f xml:space="preserve"> IF('Attributes Inputs and Outputs'!J8=2, IF(OR('Attributes Inputs and Outputs'!E8='Defaults and Ranges'!G25,'Attributes Inputs and Outputs'!E8='Defaults and Ranges'!G26), 'Attributes Inputs and Outputs'!L8+'Attributes Inputs and Outputs'!M8+2,'Attributes Inputs and Outputs'!L8+'Attributes Inputs and Outputs'!M8+1), IF(OR('Attributes Inputs and Outputs'!E8='Defaults and Ranges'!G25,'Attributes Inputs and Outputs'!E8='Defaults and Ranges'!G26),'Attributes Inputs and Outputs'!L8+1,'Attributes Inputs and Outputs'!L8) )</f>
        <v>20</v>
      </c>
      <c r="E891" s="16">
        <f>C891*D891</f>
        <v>2992.7913392015826</v>
      </c>
      <c r="F891" s="11">
        <f>IF('Attributes Inputs and Outputs'!E8='Defaults and Ranges'!G24, 0, 2.1/4*'Attributes Inputs and Outputs'!K8*C891)</f>
        <v>707.0469538863739</v>
      </c>
      <c r="I891" s="11">
        <v>199.97999899989998</v>
      </c>
      <c r="J891">
        <v>20</v>
      </c>
      <c r="K891" s="51">
        <v>3999.5999799979995</v>
      </c>
      <c r="L891" s="11">
        <v>1049.8949947494748</v>
      </c>
    </row>
    <row r="892" spans="1:13" x14ac:dyDescent="0.3">
      <c r="A892" s="7" t="s">
        <v>61</v>
      </c>
      <c r="C892" t="s">
        <v>786</v>
      </c>
      <c r="D892" t="s">
        <v>787</v>
      </c>
      <c r="E892" t="s">
        <v>790</v>
      </c>
      <c r="I892" t="s">
        <v>786</v>
      </c>
      <c r="J892" t="s">
        <v>787</v>
      </c>
      <c r="K892" t="s">
        <v>790</v>
      </c>
    </row>
    <row r="893" spans="1:13" x14ac:dyDescent="0.3">
      <c r="A893" t="s">
        <v>772</v>
      </c>
      <c r="B893" t="s">
        <v>784</v>
      </c>
      <c r="C893" s="37">
        <v>4</v>
      </c>
      <c r="D893" s="16">
        <f>$E$891*1/4*IF('Packages Inputs and Outputs'!$E$43='Defaults and Ranges'!$B$53, 0.9, IF('Packages Inputs and Outputs'!$E$43='Defaults and Ranges'!$B$54, 0.85, IF('Packages Inputs and Outputs'!$E$43='Defaults and Ranges'!$B$55, 0.8, 0.75)))-IF(OR('Attributes Inputs and Outputs'!$S$8='Defaults and Ranges'!$W$24,'Attributes Inputs and Outputs'!$S$8='Defaults and Ranges'!W26 ), 8*10*'Attributes Inputs and Outputs'!$I$8, 0)</f>
        <v>475.96815958033631</v>
      </c>
      <c r="E893" s="13">
        <f>C893*D893</f>
        <v>1903.8726383213452</v>
      </c>
      <c r="F893" s="13"/>
      <c r="G893" s="13">
        <f>E893*(1+(IF('Attributes Inputs and Outputs'!$O$8=Inputs!$C$44,Inputs!$C$45,IF('Attributes Inputs and Outputs'!$O$8=Inputs!$D$44,Inputs!$D$45,IF('Attributes Inputs and Outputs'!$O$8=Inputs!$E$44,Inputs!$E$45,IF('Attributes Inputs and Outputs'!$O$8=Inputs!$F$44,Inputs!$F$45,Inputs!$G$45))))))</f>
        <v>1903.8726383213452</v>
      </c>
      <c r="I893" s="37">
        <v>4</v>
      </c>
      <c r="J893" s="51">
        <v>559.91999599959991</v>
      </c>
      <c r="K893" s="13">
        <v>2239.6799839983996</v>
      </c>
      <c r="L893" s="13"/>
      <c r="M893" s="13">
        <v>2239.6799839983996</v>
      </c>
    </row>
    <row r="894" spans="1:13" x14ac:dyDescent="0.3">
      <c r="A894" t="s">
        <v>771</v>
      </c>
      <c r="B894" t="s">
        <v>784</v>
      </c>
      <c r="C894" s="37">
        <v>4.5</v>
      </c>
      <c r="D894" s="16">
        <f>D893*0.95</f>
        <v>452.16975160131949</v>
      </c>
      <c r="E894" s="13">
        <f t="shared" ref="E894:E900" si="24">C894*D894</f>
        <v>2034.7638822059378</v>
      </c>
      <c r="F894" s="13"/>
      <c r="G894" s="13">
        <f>E894*(1+(IF('Attributes Inputs and Outputs'!$O$8=Inputs!$C$44,Inputs!$C$45,IF('Attributes Inputs and Outputs'!$O$8=Inputs!$D$44,Inputs!$D$45,IF('Attributes Inputs and Outputs'!$O$8=Inputs!$E$44,Inputs!$E$45,IF('Attributes Inputs and Outputs'!$O$8=Inputs!$F$44,Inputs!$F$45,Inputs!$G$45))))))</f>
        <v>2034.7638822059378</v>
      </c>
      <c r="I894" s="37">
        <v>4</v>
      </c>
      <c r="J894" s="51">
        <v>531.92399619961986</v>
      </c>
      <c r="K894" s="13">
        <v>2127.6959847984795</v>
      </c>
      <c r="L894" s="13"/>
      <c r="M894" s="13">
        <v>2127.6959847984795</v>
      </c>
    </row>
    <row r="895" spans="1:13" x14ac:dyDescent="0.3">
      <c r="A895" t="s">
        <v>773</v>
      </c>
      <c r="B895" t="s">
        <v>785</v>
      </c>
      <c r="C895" s="37">
        <v>1.5</v>
      </c>
      <c r="D895" s="16">
        <f>$E$891*3/4*IF('Packages Inputs and Outputs'!$E$43='Defaults and Ranges'!$B$53, 0.9, IF('Packages Inputs and Outputs'!$E$43='Defaults and Ranges'!$B$54, 0.85, IF('Packages Inputs and Outputs'!$E$43='Defaults and Ranges'!$B$55, 0.8, 0.75)))-IF('Attributes Inputs and Outputs'!$S$8='Defaults and Ranges'!$W$25, 8*10*'Attributes Inputs and Outputs'!$I$8, 0)</f>
        <v>1907.9044787410087</v>
      </c>
      <c r="E895" s="13">
        <f t="shared" si="24"/>
        <v>2861.8567181115131</v>
      </c>
      <c r="F895" s="13"/>
      <c r="G895" s="13">
        <f>E895*(1+(IF('Attributes Inputs and Outputs'!$O$8=Inputs!$C$44,Inputs!$C$45,IF('Attributes Inputs and Outputs'!$O$8=Inputs!$D$44,Inputs!$D$45,IF('Attributes Inputs and Outputs'!$O$8=Inputs!$E$44,Inputs!$E$45,IF('Attributes Inputs and Outputs'!$O$8=Inputs!$F$44,Inputs!$F$45,Inputs!$G$45))))))</f>
        <v>2861.8567181115131</v>
      </c>
      <c r="I895" s="37">
        <v>1.5</v>
      </c>
      <c r="J895" s="51">
        <v>2399.7599879987997</v>
      </c>
      <c r="K895" s="13">
        <v>3599.6399819981998</v>
      </c>
      <c r="L895" s="13"/>
      <c r="M895" s="13">
        <v>3599.6399819981998</v>
      </c>
    </row>
    <row r="896" spans="1:13" x14ac:dyDescent="0.3">
      <c r="A896" t="s">
        <v>774</v>
      </c>
      <c r="B896" t="s">
        <v>785</v>
      </c>
      <c r="C896" s="37">
        <v>2</v>
      </c>
      <c r="D896" s="16">
        <f>D895*0.95</f>
        <v>1812.5092548039581</v>
      </c>
      <c r="E896" s="13">
        <f t="shared" si="24"/>
        <v>3625.0185096079163</v>
      </c>
      <c r="F896" s="13"/>
      <c r="G896" s="13">
        <f>E896*(1+(IF('Attributes Inputs and Outputs'!$O$8=Inputs!$C$44,Inputs!$C$45,IF('Attributes Inputs and Outputs'!$O$8=Inputs!$D$44,Inputs!$D$45,IF('Attributes Inputs and Outputs'!$O$8=Inputs!$E$44,Inputs!$E$45,IF('Attributes Inputs and Outputs'!$O$8=Inputs!$F$44,Inputs!$F$45,Inputs!$G$45))))))</f>
        <v>3625.0185096079163</v>
      </c>
      <c r="I896" s="37">
        <v>1.5</v>
      </c>
      <c r="J896" s="51">
        <v>2279.7719885988595</v>
      </c>
      <c r="K896" s="13">
        <v>3419.6579828982894</v>
      </c>
      <c r="L896" s="13"/>
      <c r="M896" s="13">
        <v>3419.6579828982894</v>
      </c>
    </row>
    <row r="897" spans="1:16" x14ac:dyDescent="0.3">
      <c r="A897" t="s">
        <v>797</v>
      </c>
      <c r="B897" t="s">
        <v>801</v>
      </c>
      <c r="C897" s="37">
        <v>4</v>
      </c>
      <c r="D897" s="16">
        <f>IF('Attributes Inputs and Outputs'!E8='Defaults and Ranges'!G24, 0, IF('Attributes Inputs and Outputs'!$S$8='Defaults and Ranges'!$W$27, (C891/4)*'Attributes Inputs and Outputs'!K8 - (8*10*'Attributes Inputs and Outputs'!$I$8), (C891/4)*2 ))</f>
        <v>74.819783480039561</v>
      </c>
      <c r="E897" s="13">
        <f t="shared" si="24"/>
        <v>299.27913392015824</v>
      </c>
      <c r="F897" s="13"/>
      <c r="G897" s="13">
        <f>E897*(1+(IF('Attributes Inputs and Outputs'!$O$8=Inputs!$C$44,Inputs!$C$45,IF('Attributes Inputs and Outputs'!$O$8=Inputs!$D$44,Inputs!$D$45,IF('Attributes Inputs and Outputs'!$O$8=Inputs!$E$44,Inputs!$E$45,IF('Attributes Inputs and Outputs'!$O$8=Inputs!$F$44,Inputs!$F$45,Inputs!$G$45))))))</f>
        <v>299.27913392015824</v>
      </c>
      <c r="I897" s="37">
        <v>4</v>
      </c>
      <c r="J897" s="51">
        <v>99.989999499949988</v>
      </c>
      <c r="K897" s="13">
        <v>399.95999799979995</v>
      </c>
      <c r="L897" s="13"/>
      <c r="M897" s="13">
        <v>399.95999799979995</v>
      </c>
    </row>
    <row r="898" spans="1:16" x14ac:dyDescent="0.3">
      <c r="A898" t="s">
        <v>798</v>
      </c>
      <c r="B898" t="s">
        <v>801</v>
      </c>
      <c r="C898" s="37">
        <v>4</v>
      </c>
      <c r="D898" s="16">
        <f>D897*0.95</f>
        <v>71.07879430603758</v>
      </c>
      <c r="E898" s="13">
        <f t="shared" si="24"/>
        <v>284.31517722415032</v>
      </c>
      <c r="F898" s="13"/>
      <c r="G898" s="13">
        <f>E898*(1+(IF('Attributes Inputs and Outputs'!$O$8=Inputs!$C$44,Inputs!$C$45,IF('Attributes Inputs and Outputs'!$O$8=Inputs!$D$44,Inputs!$D$45,IF('Attributes Inputs and Outputs'!$O$8=Inputs!$E$44,Inputs!$E$45,IF('Attributes Inputs and Outputs'!$O$8=Inputs!$F$44,Inputs!$F$45,Inputs!$G$45))))))</f>
        <v>284.31517722415032</v>
      </c>
      <c r="I898" s="37">
        <v>4</v>
      </c>
      <c r="J898" s="51">
        <v>94.990499524952483</v>
      </c>
      <c r="K898" s="13">
        <v>379.96199809980993</v>
      </c>
      <c r="L898" s="13"/>
      <c r="M898" s="13">
        <v>379.96199809980993</v>
      </c>
    </row>
    <row r="899" spans="1:16" x14ac:dyDescent="0.3">
      <c r="A899" t="s">
        <v>808</v>
      </c>
      <c r="B899" t="s">
        <v>810</v>
      </c>
      <c r="C899" s="14">
        <f>0.22*IF('Packages Inputs and Outputs'!$E$43='Defaults and Ranges'!$B$53, 1, IF('Packages Inputs and Outputs'!$E$43='Defaults and Ranges'!$B$54, 1.1, IF('Packages Inputs and Outputs'!$E$43='Defaults and Ranges'!$B$55, 1.2, 1.3)))</f>
        <v>0.24200000000000002</v>
      </c>
      <c r="D899" s="16">
        <f>SUM($E$891:$F$891)</f>
        <v>3699.8382930879566</v>
      </c>
      <c r="E899" s="13">
        <f t="shared" si="24"/>
        <v>895.36086692728554</v>
      </c>
      <c r="F899" s="13"/>
      <c r="G899" s="13">
        <f>E899*(1+(IF('Attributes Inputs and Outputs'!$O$8=Inputs!$C$44,Inputs!$C$45,IF('Attributes Inputs and Outputs'!$O$8=Inputs!$D$44,Inputs!$D$45,IF('Attributes Inputs and Outputs'!$O$8=Inputs!$E$44,Inputs!$E$45,IF('Attributes Inputs and Outputs'!$O$8=Inputs!$F$44,Inputs!$F$45,Inputs!$G$45))))))</f>
        <v>895.36086692728554</v>
      </c>
      <c r="I899" s="14">
        <v>0.26400000000000001</v>
      </c>
      <c r="J899" s="51">
        <v>5049.4949747474748</v>
      </c>
      <c r="K899" s="13">
        <v>1333.0666733333335</v>
      </c>
      <c r="L899" s="13"/>
      <c r="M899" s="13">
        <v>1333.0666733333335</v>
      </c>
    </row>
    <row r="900" spans="1:16" x14ac:dyDescent="0.3">
      <c r="A900" t="s">
        <v>809</v>
      </c>
      <c r="B900" t="s">
        <v>811</v>
      </c>
      <c r="C900" s="14">
        <f>0.28*IF('Packages Inputs and Outputs'!$E$43='Defaults and Ranges'!$B$53, 1, IF('Packages Inputs and Outputs'!$E$43='Defaults and Ranges'!$B$54, 1.1, IF('Packages Inputs and Outputs'!$E$43='Defaults and Ranges'!$B$55, 1.2, 1.3)))</f>
        <v>0.30800000000000005</v>
      </c>
      <c r="D900" s="16">
        <f>D899</f>
        <v>3699.8382930879566</v>
      </c>
      <c r="E900" s="13">
        <f t="shared" si="24"/>
        <v>1139.5501942710907</v>
      </c>
      <c r="F900" s="13"/>
      <c r="G900" s="13">
        <f>E900*(1+(IF('Attributes Inputs and Outputs'!$O$8=Inputs!$C$44,Inputs!$C$45,IF('Attributes Inputs and Outputs'!$O$8=Inputs!$D$44,Inputs!$D$45,IF('Attributes Inputs and Outputs'!$O$8=Inputs!$E$44,Inputs!$E$45,IF('Attributes Inputs and Outputs'!$O$8=Inputs!$F$44,Inputs!$F$45,Inputs!$G$45))))))</f>
        <v>1139.5501942710907</v>
      </c>
      <c r="I900" s="14">
        <v>0.33600000000000002</v>
      </c>
      <c r="J900" s="51">
        <v>5049.4949747474748</v>
      </c>
      <c r="K900" s="13">
        <v>1696.6303115151516</v>
      </c>
      <c r="L900" s="13"/>
      <c r="M900" s="13">
        <v>1696.6303115151516</v>
      </c>
    </row>
    <row r="901" spans="1:16" x14ac:dyDescent="0.3">
      <c r="D901" s="39" t="s">
        <v>127</v>
      </c>
      <c r="E901" s="40">
        <f>SUM(E893:E900)</f>
        <v>13044.017120589397</v>
      </c>
      <c r="F901" s="40"/>
      <c r="G901" s="40">
        <f>SUM(G893:G900)</f>
        <v>13044.017120589397</v>
      </c>
      <c r="J901" t="s">
        <v>127</v>
      </c>
      <c r="K901" s="13">
        <v>15196.292914641463</v>
      </c>
      <c r="L901" s="13"/>
      <c r="M901" s="13">
        <v>15196.292914641463</v>
      </c>
    </row>
    <row r="902" spans="1:16" x14ac:dyDescent="0.3">
      <c r="A902" s="7" t="s">
        <v>62</v>
      </c>
      <c r="C902" s="13"/>
      <c r="D902" s="13"/>
      <c r="E902" s="13"/>
      <c r="F902" s="13"/>
      <c r="I902" s="13"/>
      <c r="J902" s="13"/>
      <c r="K902" s="13"/>
      <c r="L902" s="13"/>
    </row>
    <row r="903" spans="1:16" x14ac:dyDescent="0.3">
      <c r="A903" t="s">
        <v>772</v>
      </c>
      <c r="B903" t="s">
        <v>1407</v>
      </c>
      <c r="C903" s="37">
        <v>3.6</v>
      </c>
      <c r="D903" s="16">
        <f>$E$891*(3/4 + 3/16)*IF('Packages Inputs and Outputs'!$E$43='Defaults and Ranges'!$B$53, 0.9, IF('Packages Inputs and Outputs'!$E$43='Defaults and Ranges'!$B$54, 0.85, IF('Packages Inputs and Outputs'!$E$43='Defaults and Ranges'!$B$55, 0.8, 0.75)))-IF('Attributes Inputs and Outputs'!$S$8='Defaults and Ranges'!$W$27,0, 8*10*'Attributes Inputs and Outputs'!$I$8)</f>
        <v>2224.8805984262608</v>
      </c>
      <c r="E903" s="13">
        <f>C903*D903</f>
        <v>8009.5701543345394</v>
      </c>
      <c r="F903" s="13"/>
      <c r="G903" s="13">
        <f>E903*(1+(IF('Attributes Inputs and Outputs'!$O$8=Inputs!$C$44,Inputs!$C$45,IF('Attributes Inputs and Outputs'!$O$8=Inputs!$D$44,Inputs!$D$45,IF('Attributes Inputs and Outputs'!$O$8=Inputs!$E$44,Inputs!$E$45,IF('Attributes Inputs and Outputs'!$O$8=Inputs!$F$44,Inputs!$F$45,Inputs!$G$45))))))</f>
        <v>8009.5701543345394</v>
      </c>
      <c r="I903" s="13">
        <v>2</v>
      </c>
      <c r="J903" s="51">
        <v>2759.6999849985</v>
      </c>
      <c r="K903" s="13">
        <v>5519.399969997</v>
      </c>
      <c r="L903" s="13"/>
      <c r="M903" s="13">
        <v>5519.399969997</v>
      </c>
    </row>
    <row r="904" spans="1:16" x14ac:dyDescent="0.3">
      <c r="A904" t="s">
        <v>771</v>
      </c>
      <c r="B904" t="s">
        <v>802</v>
      </c>
      <c r="C904" s="37">
        <v>4</v>
      </c>
      <c r="D904" s="16">
        <f>D903*0.95</f>
        <v>2113.6365685049477</v>
      </c>
      <c r="E904" s="13">
        <f>C904*D904</f>
        <v>8454.5462740197909</v>
      </c>
      <c r="F904" s="13"/>
      <c r="G904" s="13">
        <f>E904*(1+(IF('Attributes Inputs and Outputs'!$O$8=Inputs!$C$44,Inputs!$C$45,IF('Attributes Inputs and Outputs'!$O$8=Inputs!$D$44,Inputs!$D$45,IF('Attributes Inputs and Outputs'!$O$8=Inputs!$E$44,Inputs!$E$45,IF('Attributes Inputs and Outputs'!$O$8=Inputs!$F$44,Inputs!$F$45,Inputs!$G$45))))))</f>
        <v>8454.5462740197909</v>
      </c>
      <c r="I904" s="37">
        <v>2.2999999999999998</v>
      </c>
      <c r="J904" s="51">
        <v>2621.7149857485747</v>
      </c>
      <c r="K904" s="13">
        <v>6029.9444672217214</v>
      </c>
      <c r="L904" s="13"/>
      <c r="M904" s="13">
        <v>6029.9444672217214</v>
      </c>
      <c r="O904" s="14"/>
      <c r="P904" s="14"/>
    </row>
    <row r="905" spans="1:16" x14ac:dyDescent="0.3">
      <c r="A905" t="s">
        <v>773</v>
      </c>
      <c r="B905" t="s">
        <v>1302</v>
      </c>
      <c r="C905" s="13">
        <v>7</v>
      </c>
      <c r="D905" s="16">
        <f>$E$891*1/(4*4)*IF('Packages Inputs and Outputs'!$E$43='Defaults and Ranges'!$B$53, 0.9, IF('Packages Inputs and Outputs'!$E$43='Defaults and Ranges'!$B$54, 0.85, IF('Packages Inputs and Outputs'!$E$43='Defaults and Ranges'!$B$55, 0.8, 0.75)))+IF('Attributes Inputs and Outputs'!E8='Defaults and Ranges'!G24, 0, IF('Attributes Inputs and Outputs'!$S$8='Defaults and Ranges'!$W$27, (C891/4)*'Attributes Inputs and Outputs'!K8 - (8*10*'Attributes Inputs and Outputs'!$I$8), (C891/4)*2 ))</f>
        <v>233.81182337512365</v>
      </c>
      <c r="E905" s="13">
        <f>C905*D905</f>
        <v>1636.6827636258656</v>
      </c>
      <c r="F905" s="13"/>
      <c r="G905" s="13">
        <f>E905*(1+(IF('Attributes Inputs and Outputs'!$O$8=Inputs!$C$44,Inputs!$C$45,IF('Attributes Inputs and Outputs'!$O$8=Inputs!$D$44,Inputs!$D$45,IF('Attributes Inputs and Outputs'!$O$8=Inputs!$E$44,Inputs!$E$45,IF('Attributes Inputs and Outputs'!$O$8=Inputs!$F$44,Inputs!$F$45,Inputs!$G$45))))))</f>
        <v>1636.6827636258656</v>
      </c>
      <c r="I905" s="13">
        <v>5</v>
      </c>
      <c r="J905" s="51">
        <v>299.96999849984996</v>
      </c>
      <c r="K905" s="13">
        <v>1499.8499924992498</v>
      </c>
      <c r="L905" s="13"/>
      <c r="M905" s="13">
        <v>1499.8499924992498</v>
      </c>
      <c r="O905" s="13"/>
      <c r="P905" s="14"/>
    </row>
    <row r="906" spans="1:16" x14ac:dyDescent="0.3">
      <c r="A906" t="s">
        <v>774</v>
      </c>
      <c r="B906" t="s">
        <v>1303</v>
      </c>
      <c r="C906" s="13">
        <v>10</v>
      </c>
      <c r="D906" s="16">
        <f>D905*0.95</f>
        <v>222.12123220636747</v>
      </c>
      <c r="E906" s="13">
        <f>C906*D906</f>
        <v>2221.2123220636745</v>
      </c>
      <c r="F906" s="13"/>
      <c r="G906" s="13">
        <f>E906*(1+(IF('Attributes Inputs and Outputs'!$O$8=Inputs!$C$44,Inputs!$C$45,IF('Attributes Inputs and Outputs'!$O$8=Inputs!$D$44,Inputs!$D$45,IF('Attributes Inputs and Outputs'!$O$8=Inputs!$E$44,Inputs!$E$45,IF('Attributes Inputs and Outputs'!$O$8=Inputs!$F$44,Inputs!$F$45,Inputs!$G$45))))))</f>
        <v>2221.2123220636745</v>
      </c>
      <c r="I906" s="13">
        <v>7</v>
      </c>
      <c r="J906" s="51">
        <v>284.97149857485743</v>
      </c>
      <c r="K906" s="13">
        <v>1994.8004900240021</v>
      </c>
      <c r="L906" s="13"/>
      <c r="M906" s="13">
        <v>1994.8004900240021</v>
      </c>
    </row>
    <row r="907" spans="1:16" x14ac:dyDescent="0.3">
      <c r="A907" t="s">
        <v>799</v>
      </c>
      <c r="B907" t="s">
        <v>803</v>
      </c>
      <c r="C907" s="13"/>
      <c r="D907" s="16"/>
      <c r="E907" s="13">
        <v>300</v>
      </c>
      <c r="F907" s="13"/>
      <c r="G907" s="13">
        <f>E907*(1+(IF('Attributes Inputs and Outputs'!$O$8=Inputs!$C$44,Inputs!$C$45,IF('Attributes Inputs and Outputs'!$O$8=Inputs!$D$44,Inputs!$D$45,IF('Attributes Inputs and Outputs'!$O$8=Inputs!$E$44,Inputs!$E$45,IF('Attributes Inputs and Outputs'!$O$8=Inputs!$F$44,Inputs!$F$45,Inputs!$G$45))))))</f>
        <v>300</v>
      </c>
      <c r="I907" s="13"/>
      <c r="J907" s="51"/>
      <c r="K907" s="13">
        <v>300</v>
      </c>
      <c r="L907" s="13"/>
      <c r="M907" s="13">
        <v>300</v>
      </c>
      <c r="P907" s="14"/>
    </row>
    <row r="908" spans="1:16" x14ac:dyDescent="0.3">
      <c r="A908" t="s">
        <v>800</v>
      </c>
      <c r="B908" t="s">
        <v>803</v>
      </c>
      <c r="C908" s="13"/>
      <c r="D908" s="16"/>
      <c r="E908" s="13">
        <v>800</v>
      </c>
      <c r="F908" s="13"/>
      <c r="G908" s="13">
        <f>E908*(1+(IF('Attributes Inputs and Outputs'!$O$8=Inputs!$C$44,Inputs!$C$45,IF('Attributes Inputs and Outputs'!$O$8=Inputs!$D$44,Inputs!$D$45,IF('Attributes Inputs and Outputs'!$O$8=Inputs!$E$44,Inputs!$E$45,IF('Attributes Inputs and Outputs'!$O$8=Inputs!$F$44,Inputs!$F$45,Inputs!$G$45))))))</f>
        <v>800</v>
      </c>
      <c r="I908" s="13"/>
      <c r="J908" s="51"/>
      <c r="K908" s="13">
        <v>800</v>
      </c>
      <c r="L908" s="13"/>
      <c r="M908" s="13">
        <v>800</v>
      </c>
    </row>
    <row r="909" spans="1:16" x14ac:dyDescent="0.3">
      <c r="A909" t="s">
        <v>808</v>
      </c>
      <c r="B909" t="s">
        <v>812</v>
      </c>
      <c r="C909" s="14">
        <f>0.27*IF('Packages Inputs and Outputs'!$E$43='Defaults and Ranges'!$B$53, 1, IF('Packages Inputs and Outputs'!$E$43='Defaults and Ranges'!$B$54, 1.1, IF('Packages Inputs and Outputs'!$E$43='Defaults and Ranges'!$B$55, 1.2, 1.3)))</f>
        <v>0.29700000000000004</v>
      </c>
      <c r="D909" s="16">
        <f>SUM($E$891:$F$891)</f>
        <v>3699.8382930879566</v>
      </c>
      <c r="E909" s="13">
        <f>C909*D909</f>
        <v>1098.8519730471232</v>
      </c>
      <c r="F909" s="13"/>
      <c r="G909" s="13">
        <f>E909*(1+(IF('Attributes Inputs and Outputs'!$O$8=Inputs!$C$44,Inputs!$C$45,IF('Attributes Inputs and Outputs'!$O$8=Inputs!$D$44,Inputs!$D$45,IF('Attributes Inputs and Outputs'!$O$8=Inputs!$E$44,Inputs!$E$45,IF('Attributes Inputs and Outputs'!$O$8=Inputs!$F$44,Inputs!$F$45,Inputs!$G$45))))))</f>
        <v>1098.8519730471232</v>
      </c>
      <c r="I909" s="14">
        <v>0.32400000000000001</v>
      </c>
      <c r="J909" s="51">
        <v>5049.4949747474748</v>
      </c>
      <c r="K909" s="13">
        <v>1636.0363718181818</v>
      </c>
      <c r="L909" s="13"/>
      <c r="M909" s="13">
        <v>1636.0363718181818</v>
      </c>
    </row>
    <row r="910" spans="1:16" x14ac:dyDescent="0.3">
      <c r="A910" t="s">
        <v>809</v>
      </c>
      <c r="B910" t="s">
        <v>813</v>
      </c>
      <c r="C910" s="14">
        <f>0.32*IF('Packages Inputs and Outputs'!$E$43='Defaults and Ranges'!$B$53, 1, IF('Packages Inputs and Outputs'!$E$43='Defaults and Ranges'!$B$54, 1.1, IF('Packages Inputs and Outputs'!$E$43='Defaults and Ranges'!$B$55, 1.2, 1.3)))</f>
        <v>0.35200000000000004</v>
      </c>
      <c r="D910" s="16">
        <f>D909</f>
        <v>3699.8382930879566</v>
      </c>
      <c r="E910" s="13">
        <f>C910*D910</f>
        <v>1302.3430791669609</v>
      </c>
      <c r="F910" s="13"/>
      <c r="G910" s="13">
        <f>E910*(1+(IF('Attributes Inputs and Outputs'!$O$8=Inputs!$C$44,Inputs!$C$45,IF('Attributes Inputs and Outputs'!$O$8=Inputs!$D$44,Inputs!$D$45,IF('Attributes Inputs and Outputs'!$O$8=Inputs!$E$44,Inputs!$E$45,IF('Attributes Inputs and Outputs'!$O$8=Inputs!$F$44,Inputs!$F$45,Inputs!$G$45))))))</f>
        <v>1302.3430791669609</v>
      </c>
      <c r="I910" s="14">
        <v>0.38400000000000001</v>
      </c>
      <c r="J910" s="51">
        <v>5049.4949747474748</v>
      </c>
      <c r="K910" s="13">
        <v>1939.0060703030304</v>
      </c>
      <c r="L910" s="13"/>
      <c r="M910" s="13">
        <v>1939.0060703030304</v>
      </c>
    </row>
    <row r="911" spans="1:16" x14ac:dyDescent="0.3">
      <c r="D911" s="39" t="s">
        <v>130</v>
      </c>
      <c r="E911" s="40">
        <f>SUM(E903:E910)</f>
        <v>23823.206566257952</v>
      </c>
      <c r="F911" s="40"/>
      <c r="G911" s="40">
        <f>SUM(G903:G910)</f>
        <v>23823.206566257952</v>
      </c>
      <c r="J911" t="s">
        <v>130</v>
      </c>
      <c r="K911" s="13">
        <v>19719.037361863186</v>
      </c>
      <c r="L911" s="13"/>
      <c r="M911" s="13">
        <v>19719.037361863186</v>
      </c>
    </row>
    <row r="912" spans="1:16" x14ac:dyDescent="0.3">
      <c r="A912" s="7" t="s">
        <v>63</v>
      </c>
      <c r="F912" s="13" t="s">
        <v>1241</v>
      </c>
      <c r="L912" s="13"/>
    </row>
    <row r="913" spans="1:13" x14ac:dyDescent="0.3">
      <c r="A913" t="s">
        <v>772</v>
      </c>
      <c r="B913" t="s">
        <v>1304</v>
      </c>
      <c r="C913" s="13">
        <v>9</v>
      </c>
      <c r="D913" s="16">
        <f>$E$891*1/4*IF('Packages Inputs and Outputs'!$E$43='Defaults and Ranges'!$B$53, 0.9, IF('Packages Inputs and Outputs'!$E$43='Defaults and Ranges'!$B$54, 0.85, IF('Packages Inputs and Outputs'!$E$43='Defaults and Ranges'!$B$55, 0.8, 0.75)))-IF(OR('Attributes Inputs and Outputs'!$S$8='Defaults and Ranges'!$W$24,'Attributes Inputs and Outputs'!$S$8='Defaults and Ranges'!W26 ), 8*10*'Attributes Inputs and Outputs'!$I$8, 0)</f>
        <v>475.96815958033631</v>
      </c>
      <c r="E913" s="13">
        <f>C913*D913</f>
        <v>4283.7134362230263</v>
      </c>
      <c r="F913" s="13"/>
      <c r="G913" s="13">
        <f>E913*(1+(IF('Attributes Inputs and Outputs'!$O$8=Inputs!$C$44,Inputs!$C$45,IF('Attributes Inputs and Outputs'!$O$8=Inputs!$D$44,Inputs!$D$45,IF('Attributes Inputs and Outputs'!$O$8=Inputs!$E$44,Inputs!$E$45,IF('Attributes Inputs and Outputs'!$O$8=Inputs!$F$44,Inputs!$F$45,Inputs!$G$45))))))</f>
        <v>4283.7134362230263</v>
      </c>
      <c r="I913" s="13">
        <v>5</v>
      </c>
      <c r="J913" s="51">
        <v>559.91999599959991</v>
      </c>
      <c r="K913" s="13">
        <v>2799.5999799979995</v>
      </c>
      <c r="L913" s="13"/>
      <c r="M913" s="13">
        <v>2799.5999799979995</v>
      </c>
    </row>
    <row r="914" spans="1:13" x14ac:dyDescent="0.3">
      <c r="A914" t="s">
        <v>771</v>
      </c>
      <c r="B914" t="s">
        <v>1356</v>
      </c>
      <c r="C914" s="13">
        <v>11</v>
      </c>
      <c r="D914" s="16">
        <f>D913*0.95</f>
        <v>452.16975160131949</v>
      </c>
      <c r="E914" s="13">
        <f t="shared" ref="E914:E920" si="25">C914*D914</f>
        <v>4973.8672676145143</v>
      </c>
      <c r="F914" s="13"/>
      <c r="G914" s="13">
        <f>E914*(1+(IF('Attributes Inputs and Outputs'!$O$8=Inputs!$C$44,Inputs!$C$45,IF('Attributes Inputs and Outputs'!$O$8=Inputs!$D$44,Inputs!$D$45,IF('Attributes Inputs and Outputs'!$O$8=Inputs!$E$44,Inputs!$E$45,IF('Attributes Inputs and Outputs'!$O$8=Inputs!$F$44,Inputs!$F$45,Inputs!$G$45))))))</f>
        <v>4973.8672676145143</v>
      </c>
      <c r="I914" s="13">
        <v>7</v>
      </c>
      <c r="J914" s="51">
        <v>531.92399619961986</v>
      </c>
      <c r="K914" s="13">
        <v>3723.4679733973389</v>
      </c>
      <c r="L914" s="13"/>
      <c r="M914" s="13">
        <v>3723.4679733973389</v>
      </c>
    </row>
    <row r="915" spans="1:13" x14ac:dyDescent="0.3">
      <c r="A915" t="s">
        <v>773</v>
      </c>
      <c r="B915" t="s">
        <v>804</v>
      </c>
      <c r="C915" s="37">
        <v>5</v>
      </c>
      <c r="D915" s="16">
        <f>$E$891*3/4*IF('Packages Inputs and Outputs'!$E$43='Defaults and Ranges'!$B$53, 0.9, IF('Packages Inputs and Outputs'!$E$43='Defaults and Ranges'!$B$54, 0.85, IF('Packages Inputs and Outputs'!$E$43='Defaults and Ranges'!$B$55, 0.8, 0.75)))-IF('Attributes Inputs and Outputs'!$S$8='Defaults and Ranges'!$W$25, 8*10*'Attributes Inputs and Outputs'!$I$8, 0)</f>
        <v>1907.9044787410087</v>
      </c>
      <c r="E915" s="13">
        <f t="shared" si="25"/>
        <v>9539.5223937050432</v>
      </c>
      <c r="F915" s="13"/>
      <c r="G915" s="13">
        <f>E915*(1+(IF('Attributes Inputs and Outputs'!$O$8=Inputs!$C$44,Inputs!$C$45,IF('Attributes Inputs and Outputs'!$O$8=Inputs!$D$44,Inputs!$D$45,IF('Attributes Inputs and Outputs'!$O$8=Inputs!$E$44,Inputs!$E$45,IF('Attributes Inputs and Outputs'!$O$8=Inputs!$F$44,Inputs!$F$45,Inputs!$G$45))))))</f>
        <v>9539.5223937050432</v>
      </c>
      <c r="I915" s="37">
        <v>4</v>
      </c>
      <c r="J915" s="51">
        <v>2399.7599879987997</v>
      </c>
      <c r="K915" s="13">
        <v>9599.0399519951989</v>
      </c>
      <c r="L915" s="13"/>
      <c r="M915" s="13">
        <v>9599.0399519951989</v>
      </c>
    </row>
    <row r="916" spans="1:13" x14ac:dyDescent="0.3">
      <c r="A916" t="s">
        <v>774</v>
      </c>
      <c r="B916" t="s">
        <v>804</v>
      </c>
      <c r="C916" s="37">
        <v>5</v>
      </c>
      <c r="D916" s="16">
        <f>D915*0.95</f>
        <v>1812.5092548039581</v>
      </c>
      <c r="E916" s="13">
        <f t="shared" si="25"/>
        <v>9062.5462740197909</v>
      </c>
      <c r="F916" s="13"/>
      <c r="G916" s="13">
        <f>E916*(1+(IF('Attributes Inputs and Outputs'!$O$8=Inputs!$C$44,Inputs!$C$45,IF('Attributes Inputs and Outputs'!$O$8=Inputs!$D$44,Inputs!$D$45,IF('Attributes Inputs and Outputs'!$O$8=Inputs!$E$44,Inputs!$E$45,IF('Attributes Inputs and Outputs'!$O$8=Inputs!$F$44,Inputs!$F$45,Inputs!$G$45))))))</f>
        <v>9062.5462740197909</v>
      </c>
      <c r="I916" s="37">
        <v>4</v>
      </c>
      <c r="J916" s="51">
        <v>2279.7719885988595</v>
      </c>
      <c r="K916" s="13">
        <v>9119.0879543954379</v>
      </c>
      <c r="L916" s="13"/>
      <c r="M916" s="13">
        <v>9119.0879543954379</v>
      </c>
    </row>
    <row r="917" spans="1:13" x14ac:dyDescent="0.3">
      <c r="A917" t="s">
        <v>799</v>
      </c>
      <c r="B917" t="s">
        <v>805</v>
      </c>
      <c r="C917" s="37">
        <v>5</v>
      </c>
      <c r="D917" s="16">
        <f>F891*IF('Packages Inputs and Outputs'!$E$43='Defaults and Ranges'!$B$53, 0.9, IF('Packages Inputs and Outputs'!$E$43='Defaults and Ranges'!$B$54, 0.85, IF('Packages Inputs and Outputs'!$E$43='Defaults and Ranges'!$B$55, 0.8, 0.75))) - IF('Attributes Inputs and Outputs'!$S$8='Defaults and Ranges'!$W$27,8*10*'Attributes Inputs and Outputs'!$I$8, 0)</f>
        <v>600.98991080341784</v>
      </c>
      <c r="E917" s="13">
        <f t="shared" si="25"/>
        <v>3004.9495540170892</v>
      </c>
      <c r="F917" s="13">
        <f>IF('Attributes Inputs and Outputs'!$E$8='Defaults and Ranges'!$G$24,0,$C$891*3/4*30)</f>
        <v>3366.89025660178</v>
      </c>
      <c r="G917" s="13">
        <f>F917+E917*(1+(IF('Attributes Inputs and Outputs'!$O$8=Inputs!$C$44,Inputs!$C$45,IF('Attributes Inputs and Outputs'!$O$8=Inputs!$D$44,Inputs!$D$45,IF('Attributes Inputs and Outputs'!$O$8=Inputs!$E$44,Inputs!$E$45,IF('Attributes Inputs and Outputs'!$O$8=Inputs!$F$44,Inputs!$F$45,Inputs!$G$45))))))</f>
        <v>6371.8398106188688</v>
      </c>
      <c r="I917" s="37">
        <v>4</v>
      </c>
      <c r="J917" s="51">
        <v>839.91599579957983</v>
      </c>
      <c r="K917" s="13">
        <v>3359.6639831983193</v>
      </c>
      <c r="L917" s="13"/>
      <c r="M917" s="13">
        <v>3359.6639831983193</v>
      </c>
    </row>
    <row r="918" spans="1:13" x14ac:dyDescent="0.3">
      <c r="A918" t="s">
        <v>800</v>
      </c>
      <c r="B918" t="s">
        <v>805</v>
      </c>
      <c r="C918" s="37">
        <v>5</v>
      </c>
      <c r="D918" s="16">
        <f>D917*0.95</f>
        <v>570.9404152632469</v>
      </c>
      <c r="E918" s="13">
        <f t="shared" si="25"/>
        <v>2854.7020763162345</v>
      </c>
      <c r="F918" s="13"/>
      <c r="G918" s="13">
        <f>E918*(1+(IF('Attributes Inputs and Outputs'!$O$8=Inputs!$C$44,Inputs!$C$45,IF('Attributes Inputs and Outputs'!$O$8=Inputs!$D$44,Inputs!$D$45,IF('Attributes Inputs and Outputs'!$O$8=Inputs!$E$44,Inputs!$E$45,IF('Attributes Inputs and Outputs'!$O$8=Inputs!$F$44,Inputs!$F$45,Inputs!$G$45))))))</f>
        <v>2854.7020763162345</v>
      </c>
      <c r="I918" s="37">
        <v>4</v>
      </c>
      <c r="J918" s="51">
        <v>797.92019600960077</v>
      </c>
      <c r="K918" s="13">
        <v>3191.6807840384031</v>
      </c>
      <c r="L918" s="13"/>
      <c r="M918" s="13">
        <v>3191.6807840384031</v>
      </c>
    </row>
    <row r="919" spans="1:13" x14ac:dyDescent="0.3">
      <c r="A919" t="s">
        <v>808</v>
      </c>
      <c r="B919" t="s">
        <v>814</v>
      </c>
      <c r="C919" s="14">
        <f>0.5*IF('Packages Inputs and Outputs'!$E$43='Defaults and Ranges'!$B$53, 1, IF('Packages Inputs and Outputs'!$E$43='Defaults and Ranges'!$B$54, 1.1, IF('Packages Inputs and Outputs'!$E$43='Defaults and Ranges'!$B$55, 1.2, 1.3)))</f>
        <v>0.55000000000000004</v>
      </c>
      <c r="D919" s="16">
        <f>SUM($E$891:$F$891)</f>
        <v>3699.8382930879566</v>
      </c>
      <c r="E919" s="13">
        <f t="shared" si="25"/>
        <v>2034.9110611983763</v>
      </c>
      <c r="F919" s="13"/>
      <c r="G919" s="13">
        <f>E919*(1+(IF('Attributes Inputs and Outputs'!$O$8=Inputs!$C$44,Inputs!$C$45,IF('Attributes Inputs and Outputs'!$O$8=Inputs!$D$44,Inputs!$D$45,IF('Attributes Inputs and Outputs'!$O$8=Inputs!$E$44,Inputs!$E$45,IF('Attributes Inputs and Outputs'!$O$8=Inputs!$F$44,Inputs!$F$45,Inputs!$G$45))))))</f>
        <v>2034.9110611983763</v>
      </c>
      <c r="I919" s="14">
        <v>0.6</v>
      </c>
      <c r="J919" s="51">
        <v>5049.4949747474748</v>
      </c>
      <c r="K919" s="13">
        <v>3029.6969848484846</v>
      </c>
      <c r="L919" s="13"/>
      <c r="M919" s="13">
        <v>3029.6969848484846</v>
      </c>
    </row>
    <row r="920" spans="1:13" x14ac:dyDescent="0.3">
      <c r="A920" t="s">
        <v>809</v>
      </c>
      <c r="B920" t="s">
        <v>815</v>
      </c>
      <c r="C920" s="14">
        <f>0.4*IF('Packages Inputs and Outputs'!$E$43='Defaults and Ranges'!$B$53, 1, IF('Packages Inputs and Outputs'!$E$43='Defaults and Ranges'!$B$54, 1.1, IF('Packages Inputs and Outputs'!$E$43='Defaults and Ranges'!$B$55, 1.2, 1.3)))</f>
        <v>0.44000000000000006</v>
      </c>
      <c r="D920" s="16">
        <f>D919</f>
        <v>3699.8382930879566</v>
      </c>
      <c r="E920" s="13">
        <f t="shared" si="25"/>
        <v>1627.9288489587011</v>
      </c>
      <c r="F920" s="13"/>
      <c r="G920" s="13">
        <f>E920*(1+(IF('Attributes Inputs and Outputs'!$O$8=Inputs!$C$44,Inputs!$C$45,IF('Attributes Inputs and Outputs'!$O$8=Inputs!$D$44,Inputs!$D$45,IF('Attributes Inputs and Outputs'!$O$8=Inputs!$E$44,Inputs!$E$45,IF('Attributes Inputs and Outputs'!$O$8=Inputs!$F$44,Inputs!$F$45,Inputs!$G$45))))))</f>
        <v>1627.9288489587011</v>
      </c>
      <c r="I920" s="14">
        <v>0.48</v>
      </c>
      <c r="J920" s="51">
        <v>5049.4949747474748</v>
      </c>
      <c r="K920" s="13">
        <v>2423.7575878787879</v>
      </c>
      <c r="L920" s="13"/>
      <c r="M920" s="13">
        <v>2423.7575878787879</v>
      </c>
    </row>
    <row r="921" spans="1:13" x14ac:dyDescent="0.3">
      <c r="D921" s="39" t="s">
        <v>133</v>
      </c>
      <c r="E921" s="40">
        <f>SUM(E913:E920)</f>
        <v>37382.140912052775</v>
      </c>
      <c r="F921" s="40"/>
      <c r="G921" s="40">
        <f>SUM(G913:G920)</f>
        <v>40749.031168654554</v>
      </c>
      <c r="J921" t="s">
        <v>133</v>
      </c>
      <c r="K921" s="13">
        <v>37245.995199749974</v>
      </c>
      <c r="L921" s="13"/>
      <c r="M921" s="13">
        <v>37245.995199749974</v>
      </c>
    </row>
    <row r="922" spans="1:13" x14ac:dyDescent="0.3">
      <c r="A922" s="7" t="s">
        <v>64</v>
      </c>
      <c r="F922" s="13"/>
      <c r="L922" s="13"/>
    </row>
    <row r="923" spans="1:13" x14ac:dyDescent="0.3">
      <c r="A923" t="s">
        <v>772</v>
      </c>
      <c r="B923" t="s">
        <v>1305</v>
      </c>
      <c r="C923" s="13">
        <v>12</v>
      </c>
      <c r="D923" s="16">
        <f>(E891+F891)*IF('Packages Inputs and Outputs'!$E$43='Defaults and Ranges'!$B$53, 0.9, IF('Packages Inputs and Outputs'!$E$43='Defaults and Ranges'!$B$54, 0.85, IF('Packages Inputs and Outputs'!$E$43='Defaults and Ranges'!$B$55, 0.8, 0.75)))-(8*10*'Attributes Inputs and Outputs'!$I$8)</f>
        <v>2984.8625491247631</v>
      </c>
      <c r="E923" s="13">
        <f>C923*D923</f>
        <v>35818.35058949716</v>
      </c>
      <c r="F923" s="13"/>
      <c r="G923" s="13">
        <f>E923*(1+(IF('Attributes Inputs and Outputs'!$O$8=Inputs!$C$44,Inputs!$C$45,IF('Attributes Inputs and Outputs'!$O$8=Inputs!$D$44,Inputs!$D$45,IF('Attributes Inputs and Outputs'!$O$8=Inputs!$E$44,Inputs!$E$45,IF('Attributes Inputs and Outputs'!$O$8=Inputs!$F$44,Inputs!$F$45,Inputs!$G$45))))))</f>
        <v>35818.35058949716</v>
      </c>
      <c r="I923" s="13">
        <v>10</v>
      </c>
      <c r="J923" s="51">
        <v>3799.5959797979799</v>
      </c>
      <c r="K923" s="13">
        <v>37995.959797979798</v>
      </c>
      <c r="L923" s="13"/>
      <c r="M923" s="13">
        <v>37995.959797979798</v>
      </c>
    </row>
    <row r="924" spans="1:13" x14ac:dyDescent="0.3">
      <c r="A924" t="s">
        <v>771</v>
      </c>
      <c r="B924" t="s">
        <v>1306</v>
      </c>
      <c r="C924" s="13">
        <v>15</v>
      </c>
      <c r="D924" s="16">
        <f>D923*0.95</f>
        <v>2835.6194216685249</v>
      </c>
      <c r="E924" s="13">
        <f>C924*D924</f>
        <v>42534.291325027873</v>
      </c>
      <c r="F924" s="13"/>
      <c r="G924" s="13">
        <f>E924*(1+(IF('Attributes Inputs and Outputs'!$O$8=Inputs!$C$44,Inputs!$C$45,IF('Attributes Inputs and Outputs'!$O$8=Inputs!$D$44,Inputs!$D$45,IF('Attributes Inputs and Outputs'!$O$8=Inputs!$E$44,Inputs!$E$45,IF('Attributes Inputs and Outputs'!$O$8=Inputs!$F$44,Inputs!$F$45,Inputs!$G$45))))))</f>
        <v>42534.291325027873</v>
      </c>
      <c r="I924" s="13">
        <v>9</v>
      </c>
      <c r="J924" s="51">
        <v>3609.6161808080806</v>
      </c>
      <c r="K924" s="13">
        <v>32486.545627272724</v>
      </c>
      <c r="L924" s="13"/>
      <c r="M924" s="13">
        <v>32486.545627272724</v>
      </c>
    </row>
    <row r="925" spans="1:13" x14ac:dyDescent="0.3">
      <c r="A925" t="s">
        <v>773</v>
      </c>
      <c r="C925" s="13"/>
      <c r="D925" s="16"/>
      <c r="E925" s="13"/>
      <c r="F925" s="13"/>
      <c r="G925" s="13"/>
      <c r="I925" s="13"/>
      <c r="J925" s="51"/>
      <c r="K925" s="13"/>
      <c r="L925" s="13"/>
      <c r="M925" s="13"/>
    </row>
    <row r="926" spans="1:13" x14ac:dyDescent="0.3">
      <c r="A926" t="s">
        <v>774</v>
      </c>
      <c r="C926" s="13"/>
      <c r="D926" s="16"/>
      <c r="E926" s="13"/>
      <c r="F926" s="13"/>
      <c r="G926" s="13"/>
      <c r="I926" s="13"/>
      <c r="J926" s="51"/>
      <c r="K926" s="13"/>
      <c r="L926" s="13"/>
      <c r="M926" s="13"/>
    </row>
    <row r="927" spans="1:13" x14ac:dyDescent="0.3">
      <c r="A927" t="s">
        <v>799</v>
      </c>
      <c r="C927" s="13"/>
      <c r="D927" s="16"/>
      <c r="E927" s="13"/>
      <c r="F927" s="13">
        <f>IF('Attributes Inputs and Outputs'!$E$8='Defaults and Ranges'!$G$24,0,$C$891*3/4*30)</f>
        <v>3366.89025660178</v>
      </c>
      <c r="G927" s="13">
        <f>F927</f>
        <v>3366.89025660178</v>
      </c>
      <c r="I927" s="13"/>
      <c r="J927" s="51"/>
      <c r="K927" s="13"/>
      <c r="L927" s="13"/>
      <c r="M927" s="13"/>
    </row>
    <row r="928" spans="1:13" x14ac:dyDescent="0.3">
      <c r="A928" t="s">
        <v>800</v>
      </c>
      <c r="C928" s="13"/>
      <c r="D928" s="16"/>
      <c r="E928" s="13"/>
      <c r="F928" s="13"/>
      <c r="G928" s="13"/>
      <c r="I928" s="13"/>
      <c r="J928" s="51"/>
      <c r="K928" s="13"/>
      <c r="L928" s="13"/>
      <c r="M928" s="13"/>
    </row>
    <row r="929" spans="1:13" x14ac:dyDescent="0.3">
      <c r="A929" t="s">
        <v>808</v>
      </c>
      <c r="B929" t="s">
        <v>816</v>
      </c>
      <c r="C929" s="14">
        <f>1*IF('Packages Inputs and Outputs'!$E$43='Defaults and Ranges'!$B$53, 1, IF('Packages Inputs and Outputs'!$E$43='Defaults and Ranges'!$B$54, 1.1, IF('Packages Inputs and Outputs'!$E$43='Defaults and Ranges'!$B$55, 1.2, 1.3)))</f>
        <v>1.1000000000000001</v>
      </c>
      <c r="D929" s="16">
        <f>SUM($E$891:$F$891)</f>
        <v>3699.8382930879566</v>
      </c>
      <c r="E929" s="13">
        <f>C929*D929</f>
        <v>4069.8221223967525</v>
      </c>
      <c r="F929" s="13"/>
      <c r="G929" s="13">
        <f>E929*(1+(IF('Attributes Inputs and Outputs'!$O$8=Inputs!$C$44,Inputs!$C$45,IF('Attributes Inputs and Outputs'!$O$8=Inputs!$D$44,Inputs!$D$45,IF('Attributes Inputs and Outputs'!$O$8=Inputs!$E$44,Inputs!$E$45,IF('Attributes Inputs and Outputs'!$O$8=Inputs!$F$44,Inputs!$F$45,Inputs!$G$45))))))</f>
        <v>4069.8221223967525</v>
      </c>
      <c r="I929" s="14">
        <v>1.2</v>
      </c>
      <c r="J929" s="51">
        <v>5049.4949747474748</v>
      </c>
      <c r="K929" s="13">
        <v>6059.3939696969692</v>
      </c>
      <c r="L929" s="13"/>
      <c r="M929" s="13">
        <v>6059.3939696969692</v>
      </c>
    </row>
    <row r="930" spans="1:13" x14ac:dyDescent="0.3">
      <c r="A930" t="s">
        <v>809</v>
      </c>
      <c r="B930" t="s">
        <v>815</v>
      </c>
      <c r="C930" s="14">
        <f>0.6*IF('Packages Inputs and Outputs'!$E$43='Defaults and Ranges'!$B$53, 1, IF('Packages Inputs and Outputs'!$E$43='Defaults and Ranges'!$B$54, 1.1, IF('Packages Inputs and Outputs'!$E$43='Defaults and Ranges'!$B$55, 1.2, 1.3)))</f>
        <v>0.66</v>
      </c>
      <c r="D930" s="16">
        <f>D929</f>
        <v>3699.8382930879566</v>
      </c>
      <c r="E930" s="13">
        <f>C930*D930</f>
        <v>2441.8932734380514</v>
      </c>
      <c r="F930" s="13"/>
      <c r="G930" s="13">
        <f>E930*(1+(IF('Attributes Inputs and Outputs'!$O$8=Inputs!$C$44,Inputs!$C$45,IF('Attributes Inputs and Outputs'!$O$8=Inputs!$D$44,Inputs!$D$45,IF('Attributes Inputs and Outputs'!$O$8=Inputs!$E$44,Inputs!$E$45,IF('Attributes Inputs and Outputs'!$O$8=Inputs!$F$44,Inputs!$F$45,Inputs!$G$45))))))</f>
        <v>2441.8932734380514</v>
      </c>
      <c r="I930" s="14">
        <v>0.72</v>
      </c>
      <c r="J930" s="51">
        <v>5049.4949747474748</v>
      </c>
      <c r="K930" s="13">
        <v>3635.6363818181817</v>
      </c>
      <c r="L930" s="13"/>
      <c r="M930" s="13">
        <v>3635.6363818181817</v>
      </c>
    </row>
    <row r="931" spans="1:13" x14ac:dyDescent="0.3">
      <c r="D931" s="39" t="s">
        <v>137</v>
      </c>
      <c r="E931" s="40">
        <f>SUM(E923:E930)</f>
        <v>84864.357310359846</v>
      </c>
      <c r="F931" s="40"/>
      <c r="G931" s="40">
        <f>SUM(G923:G930)</f>
        <v>88231.247566961625</v>
      </c>
      <c r="J931" t="s">
        <v>137</v>
      </c>
      <c r="K931" s="13">
        <v>80177.535776767676</v>
      </c>
      <c r="L931" s="13"/>
      <c r="M931" s="13">
        <v>80177.535776767676</v>
      </c>
    </row>
    <row r="934" spans="1:13" x14ac:dyDescent="0.3">
      <c r="B934" s="64"/>
      <c r="D934" s="11"/>
    </row>
    <row r="935" spans="1:13" x14ac:dyDescent="0.3">
      <c r="C935" t="s">
        <v>830</v>
      </c>
      <c r="D935" t="s">
        <v>828</v>
      </c>
      <c r="E935" t="s">
        <v>834</v>
      </c>
      <c r="F935" t="s">
        <v>15</v>
      </c>
      <c r="G935" t="s">
        <v>829</v>
      </c>
    </row>
    <row r="936" spans="1:13" ht="15" thickBot="1" x14ac:dyDescent="0.35">
      <c r="B936" t="s">
        <v>98</v>
      </c>
      <c r="C936" s="11" t="str">
        <f>'Attributes Inputs and Outputs'!E8</f>
        <v>Yes, Unfinished</v>
      </c>
      <c r="D936" t="str">
        <f>'Packages Inputs and Outputs'!$E$47</f>
        <v>silver</v>
      </c>
      <c r="E936" t="str">
        <f>'Packages Inputs and Outputs'!E46</f>
        <v>silver</v>
      </c>
      <c r="F936" s="16">
        <f>'Attributes Inputs and Outputs'!I8</f>
        <v>2</v>
      </c>
      <c r="G936" s="11">
        <f>'Attributes Calculations'!$E$16</f>
        <v>2299</v>
      </c>
    </row>
    <row r="937" spans="1:13" x14ac:dyDescent="0.3">
      <c r="A937" s="7" t="s">
        <v>61</v>
      </c>
      <c r="D937" t="s">
        <v>818</v>
      </c>
      <c r="E937" t="s">
        <v>819</v>
      </c>
      <c r="G937" t="s">
        <v>790</v>
      </c>
      <c r="I937" s="70" t="s">
        <v>1020</v>
      </c>
      <c r="J937" s="71"/>
      <c r="K937" s="72"/>
    </row>
    <row r="938" spans="1:13" x14ac:dyDescent="0.3">
      <c r="A938" t="s">
        <v>820</v>
      </c>
      <c r="B938" t="s">
        <v>832</v>
      </c>
      <c r="D938" s="13">
        <v>100</v>
      </c>
      <c r="E938" s="16">
        <f>1+$F$936</f>
        <v>3</v>
      </c>
      <c r="F938" s="13"/>
      <c r="G938" s="13">
        <f t="shared" ref="G938:G945" si="26">D938*E938</f>
        <v>300</v>
      </c>
      <c r="I938" s="73" t="s">
        <v>988</v>
      </c>
      <c r="J938" t="s">
        <v>992</v>
      </c>
      <c r="K938" s="74" t="s">
        <v>994</v>
      </c>
    </row>
    <row r="939" spans="1:13" x14ac:dyDescent="0.3">
      <c r="A939" t="s">
        <v>837</v>
      </c>
      <c r="B939" t="s">
        <v>836</v>
      </c>
      <c r="D939" s="13">
        <v>100</v>
      </c>
      <c r="E939" s="16">
        <f>1</f>
        <v>1</v>
      </c>
      <c r="F939" s="13"/>
      <c r="G939" s="13">
        <f t="shared" si="26"/>
        <v>100</v>
      </c>
      <c r="I939" s="73" t="s">
        <v>61</v>
      </c>
      <c r="J939" s="18">
        <f>E946</f>
        <v>5</v>
      </c>
      <c r="K939" s="18">
        <f>J939</f>
        <v>5</v>
      </c>
    </row>
    <row r="940" spans="1:13" x14ac:dyDescent="0.3">
      <c r="A940" t="s">
        <v>835</v>
      </c>
      <c r="B940" t="s">
        <v>836</v>
      </c>
      <c r="D940" s="13">
        <v>100</v>
      </c>
      <c r="E940" s="16">
        <f>IF($C$936='Defaults and Ranges'!$G$24, 0, 1)</f>
        <v>1</v>
      </c>
      <c r="F940" s="13"/>
      <c r="G940" s="13">
        <f t="shared" si="26"/>
        <v>100</v>
      </c>
      <c r="I940" s="73" t="s">
        <v>63</v>
      </c>
      <c r="J940" s="18">
        <f>E966</f>
        <v>26.6</v>
      </c>
      <c r="K940" s="18">
        <f>J940</f>
        <v>26.6</v>
      </c>
    </row>
    <row r="941" spans="1:13" x14ac:dyDescent="0.3">
      <c r="A941" t="s">
        <v>821</v>
      </c>
      <c r="B941" t="s">
        <v>826</v>
      </c>
      <c r="D941" s="13"/>
      <c r="E941" s="16"/>
      <c r="F941" s="13"/>
      <c r="G941" s="13">
        <f t="shared" si="26"/>
        <v>0</v>
      </c>
      <c r="I941" s="73" t="s">
        <v>64</v>
      </c>
      <c r="J941" s="18">
        <f>E976</f>
        <v>33.700000000000003</v>
      </c>
      <c r="K941" s="18">
        <f>J941</f>
        <v>33.700000000000003</v>
      </c>
    </row>
    <row r="942" spans="1:13" x14ac:dyDescent="0.3">
      <c r="A942" t="s">
        <v>822</v>
      </c>
      <c r="B942" t="s">
        <v>827</v>
      </c>
      <c r="D942" s="13"/>
      <c r="E942" s="16"/>
      <c r="F942" s="13"/>
      <c r="G942" s="13">
        <f t="shared" si="26"/>
        <v>0</v>
      </c>
      <c r="I942" s="73" t="s">
        <v>62</v>
      </c>
      <c r="J942" s="18">
        <f>E956</f>
        <v>12</v>
      </c>
      <c r="K942" s="18">
        <f>J942</f>
        <v>12</v>
      </c>
    </row>
    <row r="943" spans="1:13" x14ac:dyDescent="0.3">
      <c r="A943" t="s">
        <v>823</v>
      </c>
      <c r="B943" t="s">
        <v>187</v>
      </c>
      <c r="D943" s="13"/>
      <c r="E943" s="16"/>
      <c r="F943" s="13"/>
      <c r="G943" s="13">
        <f t="shared" si="26"/>
        <v>0</v>
      </c>
      <c r="I943" s="73"/>
      <c r="K943" s="74"/>
    </row>
    <row r="944" spans="1:13" ht="15" thickBot="1" x14ac:dyDescent="0.35">
      <c r="A944" t="s">
        <v>824</v>
      </c>
      <c r="B944" t="s">
        <v>187</v>
      </c>
      <c r="D944" s="13"/>
      <c r="E944" s="16"/>
      <c r="F944" s="13"/>
      <c r="G944" s="13">
        <f t="shared" si="26"/>
        <v>0</v>
      </c>
      <c r="I944" s="75"/>
      <c r="J944" s="76" t="s">
        <v>990</v>
      </c>
      <c r="K944" s="83">
        <f xml:space="preserve"> LOOKUP('Packages Inputs and Outputs'!E51, I939:I942, K939:K942)</f>
        <v>12</v>
      </c>
    </row>
    <row r="945" spans="1:7" x14ac:dyDescent="0.3">
      <c r="A945" t="s">
        <v>825</v>
      </c>
      <c r="B945" t="s">
        <v>971</v>
      </c>
      <c r="D945" s="13"/>
      <c r="E945" s="16"/>
      <c r="F945" s="13"/>
      <c r="G945" s="13">
        <f t="shared" si="26"/>
        <v>0</v>
      </c>
    </row>
    <row r="946" spans="1:7" x14ac:dyDescent="0.3">
      <c r="D946" s="39" t="s">
        <v>127</v>
      </c>
      <c r="E946" s="65">
        <f>SUM(E938:E945)</f>
        <v>5</v>
      </c>
      <c r="F946" s="40"/>
      <c r="G946" s="40">
        <f>SUM(G938:G945)</f>
        <v>500</v>
      </c>
    </row>
    <row r="947" spans="1:7" x14ac:dyDescent="0.3">
      <c r="A947" s="7" t="s">
        <v>62</v>
      </c>
      <c r="C947" s="13"/>
      <c r="D947" t="s">
        <v>818</v>
      </c>
      <c r="E947" t="s">
        <v>819</v>
      </c>
      <c r="F947" s="13"/>
    </row>
    <row r="948" spans="1:7" x14ac:dyDescent="0.3">
      <c r="A948" t="s">
        <v>820</v>
      </c>
      <c r="B948" t="s">
        <v>831</v>
      </c>
      <c r="C948" s="13"/>
      <c r="D948" s="13">
        <v>200</v>
      </c>
      <c r="E948" s="16">
        <f>2+$F$936</f>
        <v>4</v>
      </c>
      <c r="F948" s="13"/>
      <c r="G948" s="13">
        <f t="shared" ref="G948:G955" si="27">D948*E948</f>
        <v>800</v>
      </c>
    </row>
    <row r="949" spans="1:7" x14ac:dyDescent="0.3">
      <c r="A949" t="s">
        <v>837</v>
      </c>
      <c r="B949" t="s">
        <v>841</v>
      </c>
      <c r="C949" s="37"/>
      <c r="D949" s="13">
        <v>100</v>
      </c>
      <c r="E949" s="16">
        <v>2</v>
      </c>
      <c r="F949" s="13"/>
      <c r="G949" s="13">
        <f t="shared" si="27"/>
        <v>200</v>
      </c>
    </row>
    <row r="950" spans="1:7" x14ac:dyDescent="0.3">
      <c r="A950" t="s">
        <v>835</v>
      </c>
      <c r="B950" t="s">
        <v>836</v>
      </c>
      <c r="C950" s="13"/>
      <c r="D950" s="13">
        <v>100</v>
      </c>
      <c r="E950" s="16">
        <f>IF($C$936='Defaults and Ranges'!$G$24, 0, 1)</f>
        <v>1</v>
      </c>
      <c r="F950" s="13"/>
      <c r="G950" s="13">
        <f t="shared" si="27"/>
        <v>100</v>
      </c>
    </row>
    <row r="951" spans="1:7" x14ac:dyDescent="0.3">
      <c r="A951" t="s">
        <v>821</v>
      </c>
      <c r="B951" t="s">
        <v>833</v>
      </c>
      <c r="C951" s="13"/>
      <c r="D951" s="13">
        <v>125</v>
      </c>
      <c r="E951" s="16">
        <f>IF($D$936='Defaults and Ranges'!$B$53, 2, IF($D$936='Defaults and Ranges'!$B$54, 3, IF($D$936='Defaults and Ranges'!$B$55, 4, 5)))</f>
        <v>3</v>
      </c>
      <c r="F951" s="13"/>
      <c r="G951" s="13">
        <f t="shared" si="27"/>
        <v>375</v>
      </c>
    </row>
    <row r="952" spans="1:7" x14ac:dyDescent="0.3">
      <c r="A952" t="s">
        <v>822</v>
      </c>
      <c r="B952" t="s">
        <v>838</v>
      </c>
      <c r="C952" s="13"/>
      <c r="D952" s="13">
        <v>100</v>
      </c>
      <c r="E952" s="16">
        <f>IF($E$936='Defaults and Ranges'!$B$53, 1, 2)</f>
        <v>2</v>
      </c>
      <c r="F952" s="13"/>
      <c r="G952" s="13">
        <f t="shared" si="27"/>
        <v>200</v>
      </c>
    </row>
    <row r="953" spans="1:7" x14ac:dyDescent="0.3">
      <c r="A953" t="s">
        <v>823</v>
      </c>
      <c r="B953" t="s">
        <v>187</v>
      </c>
      <c r="C953" s="13"/>
      <c r="D953" s="13"/>
      <c r="E953" s="16"/>
      <c r="F953" s="13"/>
      <c r="G953" s="13">
        <f t="shared" si="27"/>
        <v>0</v>
      </c>
    </row>
    <row r="954" spans="1:7" x14ac:dyDescent="0.3">
      <c r="A954" t="s">
        <v>824</v>
      </c>
      <c r="B954" t="s">
        <v>187</v>
      </c>
      <c r="C954" s="13"/>
      <c r="D954" s="13"/>
      <c r="E954" s="16"/>
      <c r="F954" s="13"/>
      <c r="G954" s="13">
        <f t="shared" si="27"/>
        <v>0</v>
      </c>
    </row>
    <row r="955" spans="1:7" x14ac:dyDescent="0.3">
      <c r="A955" t="s">
        <v>825</v>
      </c>
      <c r="B955" t="s">
        <v>971</v>
      </c>
      <c r="C955" s="14"/>
      <c r="D955" s="13"/>
      <c r="E955" s="16"/>
      <c r="F955" s="13"/>
      <c r="G955" s="13">
        <f t="shared" si="27"/>
        <v>0</v>
      </c>
    </row>
    <row r="956" spans="1:7" x14ac:dyDescent="0.3">
      <c r="D956" s="39" t="s">
        <v>130</v>
      </c>
      <c r="E956" s="65">
        <f>SUM(E948:E955)</f>
        <v>12</v>
      </c>
      <c r="F956" s="40"/>
      <c r="G956" s="40">
        <f>SUM(G948:G955)</f>
        <v>1675</v>
      </c>
    </row>
    <row r="957" spans="1:7" x14ac:dyDescent="0.3">
      <c r="A957" s="7" t="s">
        <v>63</v>
      </c>
      <c r="D957" t="s">
        <v>818</v>
      </c>
      <c r="E957" t="s">
        <v>819</v>
      </c>
      <c r="F957" s="13"/>
    </row>
    <row r="958" spans="1:7" x14ac:dyDescent="0.3">
      <c r="A958" t="s">
        <v>820</v>
      </c>
      <c r="B958" t="s">
        <v>839</v>
      </c>
      <c r="C958" s="13"/>
      <c r="D958" s="13">
        <v>350</v>
      </c>
      <c r="E958" s="16">
        <f>2+$F$936</f>
        <v>4</v>
      </c>
      <c r="F958" s="13"/>
      <c r="G958" s="13">
        <f t="shared" ref="G958:G965" si="28">D958*E958</f>
        <v>1400</v>
      </c>
    </row>
    <row r="959" spans="1:7" x14ac:dyDescent="0.3">
      <c r="A959" t="s">
        <v>837</v>
      </c>
      <c r="B959" t="s">
        <v>840</v>
      </c>
      <c r="C959" s="13"/>
      <c r="D959" s="13">
        <v>200</v>
      </c>
      <c r="E959" s="16">
        <v>2</v>
      </c>
      <c r="F959" s="13"/>
      <c r="G959" s="13">
        <f t="shared" si="28"/>
        <v>400</v>
      </c>
    </row>
    <row r="960" spans="1:7" x14ac:dyDescent="0.3">
      <c r="A960" t="s">
        <v>835</v>
      </c>
      <c r="B960" t="s">
        <v>840</v>
      </c>
      <c r="C960" s="37"/>
      <c r="D960" s="13">
        <v>200</v>
      </c>
      <c r="E960" s="16">
        <v>2</v>
      </c>
      <c r="F960" s="13"/>
      <c r="G960" s="13">
        <f t="shared" si="28"/>
        <v>400</v>
      </c>
    </row>
    <row r="961" spans="1:7" x14ac:dyDescent="0.3">
      <c r="A961" t="s">
        <v>821</v>
      </c>
      <c r="B961" t="s">
        <v>833</v>
      </c>
      <c r="C961" s="37"/>
      <c r="D961" s="13">
        <v>125</v>
      </c>
      <c r="E961" s="16">
        <f>IF($D$936='Defaults and Ranges'!$B$53, 3, IF($D$936='Defaults and Ranges'!$B$54, 4, IF($D$936='Defaults and Ranges'!$B$55, 8, 8)))</f>
        <v>4</v>
      </c>
      <c r="F961" s="13"/>
      <c r="G961" s="13">
        <f t="shared" si="28"/>
        <v>500</v>
      </c>
    </row>
    <row r="962" spans="1:7" x14ac:dyDescent="0.3">
      <c r="A962" t="s">
        <v>822</v>
      </c>
      <c r="B962" t="s">
        <v>842</v>
      </c>
      <c r="C962" s="37"/>
      <c r="D962" s="13">
        <v>100</v>
      </c>
      <c r="E962" s="16">
        <f>IF($E$936='Defaults and Ranges'!$B$53, 3, IF($E$936='Defaults and Ranges'!$B$54, 6, IF($E$936='Defaults and Ranges'!$E$55, 10, 10)))</f>
        <v>6</v>
      </c>
      <c r="F962" s="13"/>
      <c r="G962" s="13">
        <f t="shared" si="28"/>
        <v>600</v>
      </c>
    </row>
    <row r="963" spans="1:7" x14ac:dyDescent="0.3">
      <c r="A963" t="s">
        <v>823</v>
      </c>
      <c r="B963" t="s">
        <v>843</v>
      </c>
      <c r="C963" s="37"/>
      <c r="D963" s="13">
        <v>150</v>
      </c>
      <c r="E963" s="16">
        <f>ROUNDUP($G$936/500, 1)</f>
        <v>4.5999999999999996</v>
      </c>
      <c r="F963" s="13"/>
      <c r="G963" s="13">
        <f t="shared" si="28"/>
        <v>690</v>
      </c>
    </row>
    <row r="964" spans="1:7" x14ac:dyDescent="0.3">
      <c r="A964" t="s">
        <v>824</v>
      </c>
      <c r="B964" t="s">
        <v>844</v>
      </c>
      <c r="C964" s="14"/>
      <c r="D964" s="13">
        <v>150</v>
      </c>
      <c r="E964" s="16">
        <v>4</v>
      </c>
      <c r="F964" s="13"/>
      <c r="G964" s="13">
        <f t="shared" si="28"/>
        <v>600</v>
      </c>
    </row>
    <row r="965" spans="1:7" x14ac:dyDescent="0.3">
      <c r="A965" t="s">
        <v>825</v>
      </c>
      <c r="B965" t="s">
        <v>971</v>
      </c>
      <c r="C965" s="14"/>
      <c r="D965" s="13">
        <v>0</v>
      </c>
      <c r="E965" s="16">
        <v>0</v>
      </c>
      <c r="F965" s="13"/>
      <c r="G965" s="13">
        <f t="shared" si="28"/>
        <v>0</v>
      </c>
    </row>
    <row r="966" spans="1:7" x14ac:dyDescent="0.3">
      <c r="D966" s="39" t="s">
        <v>133</v>
      </c>
      <c r="E966" s="65">
        <f>SUM(E958:E965)</f>
        <v>26.6</v>
      </c>
      <c r="F966" s="40"/>
      <c r="G966" s="40">
        <f>SUM(G958:G965)</f>
        <v>4590</v>
      </c>
    </row>
    <row r="967" spans="1:7" x14ac:dyDescent="0.3">
      <c r="A967" s="7" t="s">
        <v>64</v>
      </c>
      <c r="D967" t="s">
        <v>818</v>
      </c>
      <c r="E967" t="s">
        <v>819</v>
      </c>
      <c r="F967" s="13"/>
    </row>
    <row r="968" spans="1:7" x14ac:dyDescent="0.3">
      <c r="A968" t="s">
        <v>820</v>
      </c>
      <c r="B968" t="s">
        <v>845</v>
      </c>
      <c r="C968" s="13"/>
      <c r="D968" s="13">
        <v>600</v>
      </c>
      <c r="E968" s="16">
        <f>2+$F$936</f>
        <v>4</v>
      </c>
      <c r="F968" s="13"/>
      <c r="G968" s="13">
        <f t="shared" ref="G968:G975" si="29">D968*E968</f>
        <v>2400</v>
      </c>
    </row>
    <row r="969" spans="1:7" x14ac:dyDescent="0.3">
      <c r="A969" t="s">
        <v>837</v>
      </c>
      <c r="B969" t="s">
        <v>846</v>
      </c>
      <c r="C969" s="13"/>
      <c r="D969" s="13">
        <v>350</v>
      </c>
      <c r="E969" s="16">
        <v>2</v>
      </c>
      <c r="F969" s="13"/>
      <c r="G969" s="13">
        <f t="shared" si="29"/>
        <v>700</v>
      </c>
    </row>
    <row r="970" spans="1:7" x14ac:dyDescent="0.3">
      <c r="A970" t="s">
        <v>835</v>
      </c>
      <c r="B970" t="s">
        <v>846</v>
      </c>
      <c r="C970" s="13"/>
      <c r="D970" s="13">
        <v>350</v>
      </c>
      <c r="E970" s="16">
        <v>2</v>
      </c>
      <c r="F970" s="13"/>
      <c r="G970" s="13">
        <f t="shared" si="29"/>
        <v>700</v>
      </c>
    </row>
    <row r="971" spans="1:7" x14ac:dyDescent="0.3">
      <c r="A971" t="s">
        <v>821</v>
      </c>
      <c r="B971" t="s">
        <v>847</v>
      </c>
      <c r="C971" s="13"/>
      <c r="D971" s="13">
        <v>200</v>
      </c>
      <c r="E971" s="16">
        <f>IF($D$936='Defaults and Ranges'!$B$53, 3, IF($D$936='Defaults and Ranges'!$B$54, 4, IF($D$936='Defaults and Ranges'!$B$55, 8, 8)))</f>
        <v>4</v>
      </c>
      <c r="F971" s="13"/>
      <c r="G971" s="13">
        <f t="shared" si="29"/>
        <v>800</v>
      </c>
    </row>
    <row r="972" spans="1:7" x14ac:dyDescent="0.3">
      <c r="A972" t="s">
        <v>822</v>
      </c>
      <c r="B972" t="s">
        <v>848</v>
      </c>
      <c r="C972" s="13"/>
      <c r="D972" s="13">
        <v>200</v>
      </c>
      <c r="E972" s="16">
        <f>IF($E$936='Defaults and Ranges'!$B$53, 3, IF($E$936='Defaults and Ranges'!$B$54, 6, IF($E$936='Defaults and Ranges'!$E$55, 10, 10)))</f>
        <v>6</v>
      </c>
      <c r="F972" s="13"/>
      <c r="G972" s="13">
        <f t="shared" si="29"/>
        <v>1200</v>
      </c>
    </row>
    <row r="973" spans="1:7" x14ac:dyDescent="0.3">
      <c r="A973" t="s">
        <v>823</v>
      </c>
      <c r="B973" t="s">
        <v>843</v>
      </c>
      <c r="C973" s="13"/>
      <c r="D973" s="13">
        <v>150</v>
      </c>
      <c r="E973" s="16">
        <f>ROUNDUP($G$936/300, 1)</f>
        <v>7.6999999999999993</v>
      </c>
      <c r="F973" s="13"/>
      <c r="G973" s="13">
        <f t="shared" si="29"/>
        <v>1155</v>
      </c>
    </row>
    <row r="974" spans="1:7" x14ac:dyDescent="0.3">
      <c r="A974" t="s">
        <v>824</v>
      </c>
      <c r="B974" t="s">
        <v>849</v>
      </c>
      <c r="C974" s="14"/>
      <c r="D974" s="13">
        <v>150</v>
      </c>
      <c r="E974" s="16">
        <v>8</v>
      </c>
      <c r="F974" s="13"/>
      <c r="G974" s="13">
        <f t="shared" si="29"/>
        <v>1200</v>
      </c>
    </row>
    <row r="975" spans="1:7" x14ac:dyDescent="0.3">
      <c r="A975" t="s">
        <v>825</v>
      </c>
      <c r="B975" t="s">
        <v>971</v>
      </c>
      <c r="C975" s="14"/>
      <c r="D975" s="13">
        <v>0</v>
      </c>
      <c r="E975" s="16">
        <v>0</v>
      </c>
      <c r="F975" s="13"/>
      <c r="G975" s="13">
        <f t="shared" si="29"/>
        <v>0</v>
      </c>
    </row>
    <row r="976" spans="1:7" x14ac:dyDescent="0.3">
      <c r="D976" s="39" t="s">
        <v>137</v>
      </c>
      <c r="E976" s="65">
        <f>SUM(E968:E975)</f>
        <v>33.700000000000003</v>
      </c>
      <c r="F976" s="40"/>
      <c r="G976" s="40">
        <f>SUM(G968:G975)</f>
        <v>8155</v>
      </c>
    </row>
    <row r="979" spans="1:10" x14ac:dyDescent="0.3">
      <c r="B979" s="64"/>
      <c r="D979" s="11"/>
    </row>
    <row r="980" spans="1:10" x14ac:dyDescent="0.3">
      <c r="C980" t="s">
        <v>854</v>
      </c>
      <c r="D980" t="s">
        <v>853</v>
      </c>
      <c r="E980" t="s">
        <v>828</v>
      </c>
      <c r="F980" t="s">
        <v>855</v>
      </c>
    </row>
    <row r="981" spans="1:10" x14ac:dyDescent="0.3">
      <c r="B981" t="s">
        <v>25</v>
      </c>
      <c r="C981" s="11">
        <f>(1/4)*IF(OR('Attributes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f>
        <v>37.409891740019781</v>
      </c>
      <c r="D981" s="11">
        <f>IF('Attributes Inputs and Outputs'!J8=1, IF('Attributes Inputs and Outputs'!S8='Defaults and Ranges'!W27, 'Attributes Calculations'!E16, 'Attributes Calculations'!E16+'Attributes Calculations'!T14),  IF('Attributes Inputs and Outputs'!S8='Defaults and Ranges'!W27, 'Attributes Back Calcs'!G15,'Attributes Back Calcs'!G15+'Attributes Back Calcs'!G9))</f>
        <v>1399.5</v>
      </c>
      <c r="E981" t="str">
        <f>'Packages Inputs and Outputs'!E47</f>
        <v>silver</v>
      </c>
      <c r="F981" s="11">
        <f>IF(E981='Defaults and Ranges'!$B$53, 6*10, IF(E981='Defaults and Ranges'!$B$54, D809, IF(E981='Defaults and Ranges'!$B$55, E809,E809)))</f>
        <v>152.87569999999999</v>
      </c>
    </row>
    <row r="982" spans="1:10" x14ac:dyDescent="0.3">
      <c r="A982" s="7" t="s">
        <v>61</v>
      </c>
      <c r="D982" t="s">
        <v>786</v>
      </c>
      <c r="F982" t="s">
        <v>790</v>
      </c>
      <c r="G982" t="s">
        <v>860</v>
      </c>
      <c r="J982">
        <f>I982*C981</f>
        <v>0</v>
      </c>
    </row>
    <row r="983" spans="1:10" x14ac:dyDescent="0.3">
      <c r="A983" t="s">
        <v>850</v>
      </c>
      <c r="B983" t="s">
        <v>1428</v>
      </c>
      <c r="D983" s="37">
        <v>3.5</v>
      </c>
      <c r="E983" s="16">
        <f>$D$981</f>
        <v>1399.5</v>
      </c>
      <c r="F983" s="13">
        <f>D983*E983</f>
        <v>4898.25</v>
      </c>
      <c r="G983" s="13">
        <f>F983*(1+(IF('Attributes Inputs and Outputs'!$O$8=Inputs!$C$44,Inputs!$C$45,IF('Attributes Inputs and Outputs'!$O$8=Inputs!$D$44,Inputs!$D$45,IF('Attributes Inputs and Outputs'!$O$8=Inputs!$E$44,Inputs!$E$45,IF('Attributes Inputs and Outputs'!$O$8=Inputs!$F$44,Inputs!$F$45,Inputs!$G$45))))))</f>
        <v>4898.25</v>
      </c>
      <c r="J983">
        <f>J982*2.1/4</f>
        <v>0</v>
      </c>
    </row>
    <row r="984" spans="1:10" x14ac:dyDescent="0.3">
      <c r="A984" t="s">
        <v>851</v>
      </c>
      <c r="B984" t="s">
        <v>1428</v>
      </c>
      <c r="D984" s="37">
        <v>3.5</v>
      </c>
      <c r="E984" s="16">
        <f>$F$981</f>
        <v>152.87569999999999</v>
      </c>
      <c r="F984" s="13">
        <f>D984*E984</f>
        <v>535.06494999999995</v>
      </c>
      <c r="G984" s="13">
        <f>F984*(1+(IF('Attributes Inputs and Outputs'!$O$8=Inputs!$C$44,Inputs!$C$45,IF('Attributes Inputs and Outputs'!$O$8=Inputs!$D$44,Inputs!$D$45,IF('Attributes Inputs and Outputs'!$O$8=Inputs!$E$44,Inputs!$E$45,IF('Attributes Inputs and Outputs'!$O$8=Inputs!$F$44,Inputs!$F$45,Inputs!$G$45))))))</f>
        <v>535.06494999999995</v>
      </c>
    </row>
    <row r="985" spans="1:10" x14ac:dyDescent="0.3">
      <c r="D985" s="39" t="s">
        <v>127</v>
      </c>
      <c r="E985" s="40"/>
      <c r="F985" s="40">
        <f>SUM(F983:F984)</f>
        <v>5433.31495</v>
      </c>
      <c r="G985" s="40">
        <f>SUM(G983:G984)</f>
        <v>5433.31495</v>
      </c>
    </row>
    <row r="986" spans="1:10" x14ac:dyDescent="0.3">
      <c r="A986" s="7" t="s">
        <v>62</v>
      </c>
      <c r="C986" s="13"/>
      <c r="D986" t="s">
        <v>786</v>
      </c>
      <c r="E986" t="s">
        <v>139</v>
      </c>
      <c r="F986" s="13"/>
    </row>
    <row r="987" spans="1:10" x14ac:dyDescent="0.3">
      <c r="A987" t="s">
        <v>850</v>
      </c>
      <c r="B987" t="s">
        <v>1429</v>
      </c>
      <c r="C987" s="13"/>
      <c r="D987" s="37">
        <v>4.5</v>
      </c>
      <c r="E987" s="16">
        <f>$D$981</f>
        <v>1399.5</v>
      </c>
      <c r="F987" s="13">
        <f>D987*E987</f>
        <v>6297.75</v>
      </c>
      <c r="G987" s="13">
        <f>F987*(1+(IF('Attributes Inputs and Outputs'!$O$8=Inputs!$C$44,Inputs!$C$45,IF('Attributes Inputs and Outputs'!$O$8=Inputs!$D$44,Inputs!$D$45,IF('Attributes Inputs and Outputs'!$O$8=Inputs!$E$44,Inputs!$E$45,IF('Attributes Inputs and Outputs'!$O$8=Inputs!$F$44,Inputs!$F$45,Inputs!$G$45))))))</f>
        <v>6297.75</v>
      </c>
    </row>
    <row r="988" spans="1:10" x14ac:dyDescent="0.3">
      <c r="A988" t="s">
        <v>851</v>
      </c>
      <c r="B988" t="s">
        <v>852</v>
      </c>
      <c r="C988" s="37"/>
      <c r="D988" s="13">
        <v>20</v>
      </c>
      <c r="E988" s="16">
        <f>$F$981</f>
        <v>152.87569999999999</v>
      </c>
      <c r="F988" s="13">
        <f>D988*E988</f>
        <v>3057.5140000000001</v>
      </c>
      <c r="G988" s="13">
        <f>F988*(1+(IF('Attributes Inputs and Outputs'!$O$8=Inputs!$C$44,Inputs!$C$45,IF('Attributes Inputs and Outputs'!$O$8=Inputs!$D$44,Inputs!$D$45,IF('Attributes Inputs and Outputs'!$O$8=Inputs!$E$44,Inputs!$E$45,IF('Attributes Inputs and Outputs'!$O$8=Inputs!$F$44,Inputs!$F$45,Inputs!$G$45))))))</f>
        <v>3057.5140000000001</v>
      </c>
      <c r="I988">
        <f>630-60</f>
        <v>570</v>
      </c>
    </row>
    <row r="989" spans="1:10" x14ac:dyDescent="0.3">
      <c r="D989" s="39" t="s">
        <v>130</v>
      </c>
      <c r="E989" s="65"/>
      <c r="F989" s="40">
        <f>SUM(F987:F988)</f>
        <v>9355.2639999999992</v>
      </c>
      <c r="G989" s="40">
        <f>SUM(G987:G988)</f>
        <v>9355.2639999999992</v>
      </c>
      <c r="I989">
        <f>I988*(20-4.5)</f>
        <v>8835</v>
      </c>
    </row>
    <row r="990" spans="1:10" x14ac:dyDescent="0.3">
      <c r="A990" s="7" t="s">
        <v>63</v>
      </c>
      <c r="D990" t="s">
        <v>786</v>
      </c>
      <c r="E990" t="s">
        <v>139</v>
      </c>
      <c r="F990" s="13"/>
    </row>
    <row r="991" spans="1:10" x14ac:dyDescent="0.3">
      <c r="A991" t="s">
        <v>850</v>
      </c>
      <c r="B991" t="s">
        <v>856</v>
      </c>
      <c r="C991" s="13"/>
      <c r="D991" s="14">
        <v>20</v>
      </c>
      <c r="E991" s="16">
        <f>$D$981</f>
        <v>1399.5</v>
      </c>
      <c r="F991" s="13">
        <f>D991*E991</f>
        <v>27990</v>
      </c>
      <c r="G991" s="13">
        <f>F991*(1+(IF('Attributes Inputs and Outputs'!$O$8=Inputs!$C$44,Inputs!$C$45,IF('Attributes Inputs and Outputs'!$O$8=Inputs!$D$44,Inputs!$D$45,IF('Attributes Inputs and Outputs'!$O$8=Inputs!$E$44,Inputs!$E$45,IF('Attributes Inputs and Outputs'!$O$8=Inputs!$F$44,Inputs!$F$45,Inputs!$G$45))))))</f>
        <v>27990</v>
      </c>
    </row>
    <row r="992" spans="1:10" x14ac:dyDescent="0.3">
      <c r="A992" t="s">
        <v>851</v>
      </c>
      <c r="B992" t="s">
        <v>856</v>
      </c>
      <c r="C992" s="13"/>
      <c r="D992" s="14">
        <v>20</v>
      </c>
      <c r="E992" s="16">
        <f>$F$981</f>
        <v>152.87569999999999</v>
      </c>
      <c r="F992" s="13">
        <f>D992*E992</f>
        <v>3057.5140000000001</v>
      </c>
      <c r="G992" s="13">
        <f>F992*(1+(IF('Attributes Inputs and Outputs'!$O$8=Inputs!$C$44,Inputs!$C$45,IF('Attributes Inputs and Outputs'!$O$8=Inputs!$D$44,Inputs!$D$45,IF('Attributes Inputs and Outputs'!$O$8=Inputs!$E$44,Inputs!$E$45,IF('Attributes Inputs and Outputs'!$O$8=Inputs!$F$44,Inputs!$F$45,Inputs!$G$45))))))</f>
        <v>3057.5140000000001</v>
      </c>
    </row>
    <row r="993" spans="1:10" x14ac:dyDescent="0.3">
      <c r="D993" s="39" t="s">
        <v>133</v>
      </c>
      <c r="E993" s="65"/>
      <c r="F993" s="40">
        <f>SUM(F991:F992)</f>
        <v>31047.513999999999</v>
      </c>
      <c r="G993" s="40">
        <f>SUM(G991:G992)</f>
        <v>31047.513999999999</v>
      </c>
    </row>
    <row r="994" spans="1:10" x14ac:dyDescent="0.3">
      <c r="A994" s="7" t="s">
        <v>64</v>
      </c>
      <c r="D994" t="s">
        <v>786</v>
      </c>
      <c r="E994" t="s">
        <v>139</v>
      </c>
      <c r="F994" s="13"/>
    </row>
    <row r="995" spans="1:10" x14ac:dyDescent="0.3">
      <c r="A995" t="s">
        <v>850</v>
      </c>
      <c r="B995" t="s">
        <v>857</v>
      </c>
      <c r="C995" s="13"/>
      <c r="D995" s="37">
        <v>25</v>
      </c>
      <c r="E995" s="16">
        <f>$D$981</f>
        <v>1399.5</v>
      </c>
      <c r="F995" s="13">
        <f>D995*E995</f>
        <v>34987.5</v>
      </c>
      <c r="G995" s="13">
        <f>F995*(1+(IF('Attributes Inputs and Outputs'!$O$8=Inputs!$C$44,Inputs!$C$45,IF('Attributes Inputs and Outputs'!$O$8=Inputs!$D$44,Inputs!$D$45,IF('Attributes Inputs and Outputs'!$O$8=Inputs!$E$44,Inputs!$E$45,IF('Attributes Inputs and Outputs'!$O$8=Inputs!$F$44,Inputs!$F$45,Inputs!$G$45))))))</f>
        <v>34987.5</v>
      </c>
    </row>
    <row r="996" spans="1:10" x14ac:dyDescent="0.3">
      <c r="A996" t="s">
        <v>851</v>
      </c>
      <c r="B996" t="s">
        <v>857</v>
      </c>
      <c r="C996" s="13"/>
      <c r="D996" s="13">
        <v>25</v>
      </c>
      <c r="E996" s="16">
        <f>$F$981</f>
        <v>152.87569999999999</v>
      </c>
      <c r="F996" s="13">
        <f>D996*E996</f>
        <v>3821.8924999999999</v>
      </c>
      <c r="G996" s="13">
        <f>F996*(1+(IF('Attributes Inputs and Outputs'!$O$8=Inputs!$C$44,Inputs!$C$45,IF('Attributes Inputs and Outputs'!$O$8=Inputs!$D$44,Inputs!$D$45,IF('Attributes Inputs and Outputs'!$O$8=Inputs!$E$44,Inputs!$E$45,IF('Attributes Inputs and Outputs'!$O$8=Inputs!$F$44,Inputs!$F$45,Inputs!$G$45))))))</f>
        <v>3821.8924999999999</v>
      </c>
    </row>
    <row r="997" spans="1:10" x14ac:dyDescent="0.3">
      <c r="D997" s="39" t="s">
        <v>137</v>
      </c>
      <c r="E997" s="65"/>
      <c r="F997" s="40">
        <f>SUM(F995:F996)</f>
        <v>38809.392500000002</v>
      </c>
      <c r="G997" s="40">
        <f>SUM(G995:G996)</f>
        <v>38809.392500000002</v>
      </c>
    </row>
    <row r="1000" spans="1:10" x14ac:dyDescent="0.3">
      <c r="E1000" t="s">
        <v>869</v>
      </c>
      <c r="F1000" t="s">
        <v>867</v>
      </c>
    </row>
    <row r="1001" spans="1:10" x14ac:dyDescent="0.3">
      <c r="B1001" t="s">
        <v>106</v>
      </c>
      <c r="C1001" s="11"/>
      <c r="D1001" s="11"/>
      <c r="E1001" s="13">
        <f>SUM('Packages Inputs and Outputs'!K8:K58)+SUM('Packages Inputs and Outputs'!K60:K65)+'Packages Inputs and Outputs'!F2</f>
        <v>453493.54257610132</v>
      </c>
      <c r="F1001" s="13">
        <f>'Packages Inputs and Outputs'!F2</f>
        <v>315000</v>
      </c>
    </row>
    <row r="1002" spans="1:10" x14ac:dyDescent="0.3">
      <c r="A1002" s="7" t="s">
        <v>61</v>
      </c>
      <c r="C1002" t="s">
        <v>868</v>
      </c>
      <c r="G1002" t="s">
        <v>56</v>
      </c>
      <c r="J1002">
        <f>I1002*C1001</f>
        <v>0</v>
      </c>
    </row>
    <row r="1003" spans="1:10" x14ac:dyDescent="0.3">
      <c r="A1003" t="s">
        <v>858</v>
      </c>
      <c r="B1003" t="s">
        <v>861</v>
      </c>
      <c r="C1003" s="13">
        <v>500</v>
      </c>
      <c r="E1003" s="16"/>
      <c r="F1003" s="13"/>
      <c r="G1003" s="13">
        <f>$E$1001/C1003</f>
        <v>906.98708515220267</v>
      </c>
      <c r="J1003">
        <f>J1002*2.1/4</f>
        <v>0</v>
      </c>
    </row>
    <row r="1004" spans="1:10" x14ac:dyDescent="0.3">
      <c r="A1004" t="s">
        <v>859</v>
      </c>
      <c r="B1004" t="s">
        <v>862</v>
      </c>
      <c r="C1004" s="13">
        <v>500</v>
      </c>
      <c r="E1004" s="16"/>
      <c r="F1004" s="13"/>
      <c r="G1004" s="13">
        <f>$F$1001/C1004</f>
        <v>630</v>
      </c>
    </row>
    <row r="1005" spans="1:10" x14ac:dyDescent="0.3">
      <c r="D1005" s="39" t="s">
        <v>127</v>
      </c>
      <c r="E1005" s="40"/>
      <c r="F1005" s="40"/>
      <c r="G1005" s="40">
        <f>SUM(G1003:G1004)</f>
        <v>1536.9870851522028</v>
      </c>
    </row>
    <row r="1006" spans="1:10" x14ac:dyDescent="0.3">
      <c r="A1006" s="7" t="s">
        <v>62</v>
      </c>
      <c r="C1006" s="13"/>
      <c r="F1006" s="13"/>
      <c r="G1006" t="s">
        <v>56</v>
      </c>
    </row>
    <row r="1007" spans="1:10" x14ac:dyDescent="0.3">
      <c r="A1007" t="s">
        <v>858</v>
      </c>
      <c r="B1007" t="s">
        <v>863</v>
      </c>
      <c r="C1007" s="13">
        <v>350</v>
      </c>
      <c r="E1007" s="16"/>
      <c r="F1007" s="13"/>
      <c r="G1007" s="13">
        <f>$E$1001/C1007</f>
        <v>1295.695835931718</v>
      </c>
    </row>
    <row r="1008" spans="1:10" x14ac:dyDescent="0.3">
      <c r="A1008" t="s">
        <v>859</v>
      </c>
      <c r="B1008" t="s">
        <v>864</v>
      </c>
      <c r="C1008" s="13">
        <v>350</v>
      </c>
      <c r="E1008" s="16"/>
      <c r="F1008" s="13"/>
      <c r="G1008" s="13">
        <f>$F$1001/C1008</f>
        <v>900</v>
      </c>
    </row>
    <row r="1009" spans="1:10" x14ac:dyDescent="0.3">
      <c r="D1009" s="39" t="s">
        <v>130</v>
      </c>
      <c r="E1009" s="65"/>
      <c r="F1009" s="40"/>
      <c r="G1009" s="40">
        <f>SUM(G1007:G1008)</f>
        <v>2195.6958359317177</v>
      </c>
    </row>
    <row r="1010" spans="1:10" x14ac:dyDescent="0.3">
      <c r="A1010" s="7" t="s">
        <v>63</v>
      </c>
      <c r="F1010" s="13"/>
      <c r="G1010" t="s">
        <v>56</v>
      </c>
    </row>
    <row r="1011" spans="1:10" x14ac:dyDescent="0.3">
      <c r="A1011" t="s">
        <v>858</v>
      </c>
      <c r="B1011" t="s">
        <v>865</v>
      </c>
      <c r="C1011" s="13">
        <v>250</v>
      </c>
      <c r="E1011" s="16"/>
      <c r="F1011" s="13"/>
      <c r="G1011" s="13">
        <f>$E$1001/C1011</f>
        <v>1813.9741703044053</v>
      </c>
    </row>
    <row r="1012" spans="1:10" x14ac:dyDescent="0.3">
      <c r="A1012" t="s">
        <v>859</v>
      </c>
      <c r="B1012" t="s">
        <v>866</v>
      </c>
      <c r="C1012" s="13">
        <v>250</v>
      </c>
      <c r="E1012" s="16"/>
      <c r="F1012" s="13"/>
      <c r="G1012" s="13">
        <f>$F$1001/C1012</f>
        <v>1260</v>
      </c>
    </row>
    <row r="1013" spans="1:10" x14ac:dyDescent="0.3">
      <c r="D1013" s="39" t="s">
        <v>133</v>
      </c>
      <c r="E1013" s="65"/>
      <c r="F1013" s="40"/>
      <c r="G1013" s="40">
        <f>SUM(G1011:G1012)</f>
        <v>3073.9741703044056</v>
      </c>
    </row>
    <row r="1014" spans="1:10" x14ac:dyDescent="0.3">
      <c r="A1014" s="7" t="s">
        <v>64</v>
      </c>
      <c r="F1014" s="13"/>
      <c r="G1014" t="s">
        <v>56</v>
      </c>
    </row>
    <row r="1015" spans="1:10" x14ac:dyDescent="0.3">
      <c r="A1015" t="s">
        <v>858</v>
      </c>
      <c r="B1015" t="s">
        <v>862</v>
      </c>
      <c r="C1015" s="13">
        <v>100</v>
      </c>
      <c r="E1015" s="16"/>
      <c r="F1015" s="13"/>
      <c r="G1015" s="13">
        <f>$E$1001/C1015</f>
        <v>4534.935425761013</v>
      </c>
    </row>
    <row r="1016" spans="1:10" x14ac:dyDescent="0.3">
      <c r="A1016" t="s">
        <v>859</v>
      </c>
      <c r="B1016" t="s">
        <v>866</v>
      </c>
      <c r="C1016" s="13">
        <v>150</v>
      </c>
      <c r="E1016" s="16"/>
      <c r="F1016" s="13"/>
      <c r="G1016" s="13">
        <f>$F$1001/C1016</f>
        <v>2100</v>
      </c>
    </row>
    <row r="1017" spans="1:10" x14ac:dyDescent="0.3">
      <c r="D1017" s="39" t="s">
        <v>137</v>
      </c>
      <c r="E1017" s="65"/>
      <c r="F1017" s="40"/>
      <c r="G1017" s="40">
        <f>SUM(G1015:G1016)</f>
        <v>6634.935425761013</v>
      </c>
    </row>
    <row r="1019" spans="1:10" x14ac:dyDescent="0.3">
      <c r="B1019" s="66"/>
    </row>
    <row r="1020" spans="1:10" x14ac:dyDescent="0.3">
      <c r="B1020" s="64"/>
    </row>
    <row r="1021" spans="1:10" x14ac:dyDescent="0.3">
      <c r="C1021" t="s">
        <v>876</v>
      </c>
      <c r="D1021" t="s">
        <v>877</v>
      </c>
      <c r="E1021" t="s">
        <v>882</v>
      </c>
      <c r="F1021" t="s">
        <v>878</v>
      </c>
      <c r="G1021" t="s">
        <v>45</v>
      </c>
    </row>
    <row r="1022" spans="1:10" x14ac:dyDescent="0.3">
      <c r="B1022" t="s">
        <v>673</v>
      </c>
      <c r="C1022" s="11">
        <f>IF('Packages Inputs and Outputs'!E43='Defaults and Ranges'!B53,G694,IF('Packages Inputs and Outputs'!E43='Defaults and Ranges'!B54,G699,IF('Packages Inputs and Outputs'!E43='Defaults and Ranges'!B55,G704,G709)))+(F329/25)*IF('Attributes Inputs and Outputs'!H12='Defaults and Ranges'!K28,IF('Packages Inputs and Outputs'!E35='Defaults and Ranges'!B53,1,IF('Packages Inputs and Outputs'!E35='Defaults and Ranges'!B54,1.1,IF('Packages Inputs and Outputs'!E35='Defaults and Ranges'!B55,1.2, 1.3)) ),0)</f>
        <v>32.5</v>
      </c>
      <c r="D1022" s="12">
        <f>IF('Packages Inputs and Outputs'!E43='Defaults and Ranges'!B53,F694,IF('Packages Inputs and Outputs'!E43='Defaults and Ranges'!B54, F699, IF('Packages Inputs and Outputs'!E43='Defaults and Ranges'!B55,F704, F709)))</f>
        <v>1.2</v>
      </c>
      <c r="E1022" s="51">
        <f>(G714+IF('Attributes Inputs and Outputs'!H10="yes", 1, 0)+IF('Attributes Inputs and Outputs'!H15="yes", 1, 0))*2+2+IF('Attributes Inputs and Outputs'!E8='Defaults and Ranges'!G26, 1, 0)</f>
        <v>36</v>
      </c>
      <c r="F1022" s="12">
        <f>IF('Packages Inputs and Outputs'!E44='Defaults and Ranges'!B53, D717, IF('Packages Inputs and Outputs'!E44='Defaults and Ranges'!B54, D722, IF('Packages Inputs and Outputs'!E44='Defaults and Ranges'!B55, D727, D732)))</f>
        <v>1</v>
      </c>
      <c r="G1022" s="11">
        <f>'Attributes Inputs and Outputs'!D15</f>
        <v>2299</v>
      </c>
    </row>
    <row r="1023" spans="1:10" x14ac:dyDescent="0.3">
      <c r="A1023" s="7" t="s">
        <v>61</v>
      </c>
      <c r="C1023" t="s">
        <v>880</v>
      </c>
      <c r="D1023" t="s">
        <v>879</v>
      </c>
      <c r="E1023" t="s">
        <v>790</v>
      </c>
      <c r="G1023" t="s">
        <v>860</v>
      </c>
      <c r="J1023">
        <f>I1023*C1022</f>
        <v>0</v>
      </c>
    </row>
    <row r="1024" spans="1:10" x14ac:dyDescent="0.3">
      <c r="A1024" t="s">
        <v>870</v>
      </c>
      <c r="B1024" t="s">
        <v>881</v>
      </c>
      <c r="C1024" s="37">
        <f>(10+1)*$D$1022</f>
        <v>13.2</v>
      </c>
      <c r="D1024" s="16">
        <f>$C$1022</f>
        <v>32.5</v>
      </c>
      <c r="E1024" s="13">
        <f t="shared" ref="E1024:E1029" si="30">C1024*D1024</f>
        <v>429</v>
      </c>
      <c r="F1024" s="13"/>
      <c r="G1024" s="13">
        <f>E1024*(1+(IF('Attributes Inputs and Outputs'!$O$8=Inputs!$C$44,Inputs!$C$45,IF('Attributes Inputs and Outputs'!$O$8=Inputs!$D$44,Inputs!$D$45,IF('Attributes Inputs and Outputs'!$O$8=Inputs!$E$44,Inputs!$E$45,IF('Attributes Inputs and Outputs'!$O$8=Inputs!$F$44,Inputs!$F$45,Inputs!$G$45))))))</f>
        <v>429</v>
      </c>
      <c r="J1024">
        <f>J1023*2.1/4</f>
        <v>0</v>
      </c>
    </row>
    <row r="1025" spans="1:7" x14ac:dyDescent="0.3">
      <c r="A1025" t="s">
        <v>872</v>
      </c>
      <c r="B1025" t="s">
        <v>883</v>
      </c>
      <c r="C1025" s="37">
        <f>1/6*55+1/4*25</f>
        <v>15.416666666666666</v>
      </c>
      <c r="D1025" s="16">
        <f>$C$1022</f>
        <v>32.5</v>
      </c>
      <c r="E1025" s="13">
        <f t="shared" si="30"/>
        <v>501.04166666666663</v>
      </c>
      <c r="F1025" s="13"/>
      <c r="G1025" s="13">
        <f>E1025*(1+(IF('Attributes Inputs and Outputs'!$O$8=Inputs!$C$44,Inputs!$C$45,IF('Attributes Inputs and Outputs'!$O$8=Inputs!$D$44,Inputs!$D$45,IF('Attributes Inputs and Outputs'!$O$8=Inputs!$E$44,Inputs!$E$45,IF('Attributes Inputs and Outputs'!$O$8=Inputs!$F$44,Inputs!$F$45,Inputs!$G$45))))))</f>
        <v>501.04166666666663</v>
      </c>
    </row>
    <row r="1026" spans="1:7" x14ac:dyDescent="0.3">
      <c r="A1026" t="s">
        <v>871</v>
      </c>
      <c r="B1026" t="s">
        <v>881</v>
      </c>
      <c r="C1026" s="37">
        <f>30+1</f>
        <v>31</v>
      </c>
      <c r="D1026" s="16">
        <f>$E$1022</f>
        <v>36</v>
      </c>
      <c r="E1026" s="13">
        <f t="shared" si="30"/>
        <v>1116</v>
      </c>
      <c r="F1026" s="13"/>
      <c r="G1026" s="13">
        <f>E1026*(1+(IF('Attributes Inputs and Outputs'!$O$8=Inputs!$C$44,Inputs!$C$45,IF('Attributes Inputs and Outputs'!$O$8=Inputs!$D$44,Inputs!$D$45,IF('Attributes Inputs and Outputs'!$O$8=Inputs!$E$44,Inputs!$E$45,IF('Attributes Inputs and Outputs'!$O$8=Inputs!$F$44,Inputs!$F$45,Inputs!$G$45))))))</f>
        <v>1116</v>
      </c>
    </row>
    <row r="1027" spans="1:7" x14ac:dyDescent="0.3">
      <c r="A1027" t="s">
        <v>873</v>
      </c>
      <c r="B1027" t="s">
        <v>883</v>
      </c>
      <c r="C1027" s="37">
        <f>1/6*55+1/4*25</f>
        <v>15.416666666666666</v>
      </c>
      <c r="D1027" s="16">
        <f>$E$1022</f>
        <v>36</v>
      </c>
      <c r="E1027" s="13">
        <f t="shared" si="30"/>
        <v>555</v>
      </c>
      <c r="F1027" s="13"/>
      <c r="G1027" s="13">
        <f>E1027*(1+(IF('Attributes Inputs and Outputs'!$O$8=Inputs!$C$44,Inputs!$C$45,IF('Attributes Inputs and Outputs'!$O$8=Inputs!$D$44,Inputs!$D$45,IF('Attributes Inputs and Outputs'!$O$8=Inputs!$E$44,Inputs!$E$45,IF('Attributes Inputs and Outputs'!$O$8=Inputs!$F$44,Inputs!$F$45,Inputs!$G$45))))))</f>
        <v>555</v>
      </c>
    </row>
    <row r="1028" spans="1:7" x14ac:dyDescent="0.3">
      <c r="A1028" t="s">
        <v>874</v>
      </c>
      <c r="B1028" t="s">
        <v>884</v>
      </c>
      <c r="C1028" s="14">
        <f>0.23+0.02</f>
        <v>0.25</v>
      </c>
      <c r="D1028" s="16">
        <f>$G$1022</f>
        <v>2299</v>
      </c>
      <c r="E1028" s="13">
        <f t="shared" si="30"/>
        <v>574.75</v>
      </c>
      <c r="F1028" s="13"/>
      <c r="G1028" s="13">
        <f>E1028*(1+(IF('Attributes Inputs and Outputs'!$O$8=Inputs!$C$44,Inputs!$C$45,IF('Attributes Inputs and Outputs'!$O$8=Inputs!$D$44,Inputs!$D$45,IF('Attributes Inputs and Outputs'!$O$8=Inputs!$E$44,Inputs!$E$45,IF('Attributes Inputs and Outputs'!$O$8=Inputs!$F$44,Inputs!$F$45,Inputs!$G$45))))))</f>
        <v>574.75</v>
      </c>
    </row>
    <row r="1029" spans="1:7" x14ac:dyDescent="0.3">
      <c r="A1029" t="s">
        <v>875</v>
      </c>
      <c r="B1029" t="s">
        <v>883</v>
      </c>
      <c r="C1029" s="14">
        <f>55*8/3000+25*8/2000</f>
        <v>0.24666666666666667</v>
      </c>
      <c r="D1029" s="16">
        <f>$G$1022</f>
        <v>2299</v>
      </c>
      <c r="E1029" s="13">
        <f t="shared" si="30"/>
        <v>567.0866666666667</v>
      </c>
      <c r="F1029" s="13"/>
      <c r="G1029" s="13">
        <f>E1029*(1+(IF('Attributes Inputs and Outputs'!$O$8=Inputs!$C$44,Inputs!$C$45,IF('Attributes Inputs and Outputs'!$O$8=Inputs!$D$44,Inputs!$D$45,IF('Attributes Inputs and Outputs'!$O$8=Inputs!$E$44,Inputs!$E$45,IF('Attributes Inputs and Outputs'!$O$8=Inputs!$F$44,Inputs!$F$45,Inputs!$G$45))))))</f>
        <v>567.0866666666667</v>
      </c>
    </row>
    <row r="1030" spans="1:7" x14ac:dyDescent="0.3">
      <c r="D1030" s="39" t="s">
        <v>127</v>
      </c>
      <c r="E1030" s="40">
        <f>SUM(E1024:E1029)</f>
        <v>3742.8783333333331</v>
      </c>
      <c r="F1030" s="40"/>
      <c r="G1030" s="40">
        <f>SUM(G1024:G1029)</f>
        <v>3742.8783333333331</v>
      </c>
    </row>
    <row r="1031" spans="1:7" x14ac:dyDescent="0.3">
      <c r="A1031" s="7" t="s">
        <v>62</v>
      </c>
      <c r="C1031" s="13"/>
      <c r="D1031" s="13"/>
      <c r="E1031" s="13"/>
      <c r="F1031" s="13"/>
    </row>
    <row r="1032" spans="1:7" x14ac:dyDescent="0.3">
      <c r="A1032" t="s">
        <v>870</v>
      </c>
      <c r="B1032" t="s">
        <v>889</v>
      </c>
      <c r="C1032" s="37">
        <f>(14+1)*$D$1022</f>
        <v>18</v>
      </c>
      <c r="D1032" s="16">
        <f>$C$1022</f>
        <v>32.5</v>
      </c>
      <c r="E1032" s="13">
        <f t="shared" ref="E1032:E1037" si="31">C1032*D1032</f>
        <v>585</v>
      </c>
      <c r="F1032" s="13"/>
      <c r="G1032" s="13">
        <f>E1032*(1+(IF('Attributes Inputs and Outputs'!$O$8=Inputs!$C$44,Inputs!$C$45,IF('Attributes Inputs and Outputs'!$O$8=Inputs!$D$44,Inputs!$D$45,IF('Attributes Inputs and Outputs'!$O$8=Inputs!$E$44,Inputs!$E$45,IF('Attributes Inputs and Outputs'!$O$8=Inputs!$F$44,Inputs!$F$45,Inputs!$G$45))))))</f>
        <v>585</v>
      </c>
    </row>
    <row r="1033" spans="1:7" x14ac:dyDescent="0.3">
      <c r="A1033" t="s">
        <v>872</v>
      </c>
      <c r="B1033" t="s">
        <v>883</v>
      </c>
      <c r="C1033" s="37">
        <f>1/4*55+1/4*25</f>
        <v>20</v>
      </c>
      <c r="D1033" s="16">
        <f>$C$1022</f>
        <v>32.5</v>
      </c>
      <c r="E1033" s="13">
        <f t="shared" si="31"/>
        <v>650</v>
      </c>
      <c r="F1033" s="13"/>
      <c r="G1033" s="13">
        <f>E1033*(1+(IF('Attributes Inputs and Outputs'!$O$8=Inputs!$C$44,Inputs!$C$45,IF('Attributes Inputs and Outputs'!$O$8=Inputs!$D$44,Inputs!$D$45,IF('Attributes Inputs and Outputs'!$O$8=Inputs!$E$44,Inputs!$E$45,IF('Attributes Inputs and Outputs'!$O$8=Inputs!$F$44,Inputs!$F$45,Inputs!$G$45))))))</f>
        <v>650</v>
      </c>
    </row>
    <row r="1034" spans="1:7" x14ac:dyDescent="0.3">
      <c r="A1034" t="s">
        <v>871</v>
      </c>
      <c r="B1034" t="s">
        <v>889</v>
      </c>
      <c r="C1034" s="37">
        <f>36+1</f>
        <v>37</v>
      </c>
      <c r="D1034" s="16">
        <f>$E$1022</f>
        <v>36</v>
      </c>
      <c r="E1034" s="13">
        <f t="shared" si="31"/>
        <v>1332</v>
      </c>
      <c r="F1034" s="13"/>
      <c r="G1034" s="13">
        <f>E1034*(1+(IF('Attributes Inputs and Outputs'!$O$8=Inputs!$C$44,Inputs!$C$45,IF('Attributes Inputs and Outputs'!$O$8=Inputs!$D$44,Inputs!$D$45,IF('Attributes Inputs and Outputs'!$O$8=Inputs!$E$44,Inputs!$E$45,IF('Attributes Inputs and Outputs'!$O$8=Inputs!$F$44,Inputs!$F$45,Inputs!$G$45))))))</f>
        <v>1332</v>
      </c>
    </row>
    <row r="1035" spans="1:7" x14ac:dyDescent="0.3">
      <c r="A1035" t="s">
        <v>873</v>
      </c>
      <c r="B1035" t="s">
        <v>883</v>
      </c>
      <c r="C1035" s="37">
        <f>1/6*55+1/4*25</f>
        <v>15.416666666666666</v>
      </c>
      <c r="D1035" s="16">
        <f>$E$1022</f>
        <v>36</v>
      </c>
      <c r="E1035" s="13">
        <f t="shared" si="31"/>
        <v>555</v>
      </c>
      <c r="F1035" s="13"/>
      <c r="G1035" s="13">
        <f>E1035*(1+(IF('Attributes Inputs and Outputs'!$O$8=Inputs!$C$44,Inputs!$C$45,IF('Attributes Inputs and Outputs'!$O$8=Inputs!$D$44,Inputs!$D$45,IF('Attributes Inputs and Outputs'!$O$8=Inputs!$E$44,Inputs!$E$45,IF('Attributes Inputs and Outputs'!$O$8=Inputs!$F$44,Inputs!$F$45,Inputs!$G$45))))))</f>
        <v>555</v>
      </c>
    </row>
    <row r="1036" spans="1:7" x14ac:dyDescent="0.3">
      <c r="A1036" t="s">
        <v>874</v>
      </c>
      <c r="B1036" t="s">
        <v>885</v>
      </c>
      <c r="C1036" s="14">
        <f>0.27+0.02</f>
        <v>0.29000000000000004</v>
      </c>
      <c r="D1036" s="16">
        <f>$G$1022</f>
        <v>2299</v>
      </c>
      <c r="E1036" s="13">
        <f t="shared" si="31"/>
        <v>666.71</v>
      </c>
      <c r="F1036" s="13"/>
      <c r="G1036" s="13">
        <f>E1036*(1+(IF('Attributes Inputs and Outputs'!$O$8=Inputs!$C$44,Inputs!$C$45,IF('Attributes Inputs and Outputs'!$O$8=Inputs!$D$44,Inputs!$D$45,IF('Attributes Inputs and Outputs'!$O$8=Inputs!$E$44,Inputs!$E$45,IF('Attributes Inputs and Outputs'!$O$8=Inputs!$F$44,Inputs!$F$45,Inputs!$G$45))))))</f>
        <v>666.71</v>
      </c>
    </row>
    <row r="1037" spans="1:7" x14ac:dyDescent="0.3">
      <c r="A1037" t="s">
        <v>875</v>
      </c>
      <c r="B1037" t="s">
        <v>883</v>
      </c>
      <c r="C1037" s="14">
        <f>55*8/3000+25*8/2000</f>
        <v>0.24666666666666667</v>
      </c>
      <c r="D1037" s="16">
        <f>$G$1022</f>
        <v>2299</v>
      </c>
      <c r="E1037" s="13">
        <f t="shared" si="31"/>
        <v>567.0866666666667</v>
      </c>
      <c r="F1037" s="13"/>
      <c r="G1037" s="13">
        <f>E1037*(1+(IF('Attributes Inputs and Outputs'!$O$8=Inputs!$C$44,Inputs!$C$45,IF('Attributes Inputs and Outputs'!$O$8=Inputs!$D$44,Inputs!$D$45,IF('Attributes Inputs and Outputs'!$O$8=Inputs!$E$44,Inputs!$E$45,IF('Attributes Inputs and Outputs'!$O$8=Inputs!$F$44,Inputs!$F$45,Inputs!$G$45))))))</f>
        <v>567.0866666666667</v>
      </c>
    </row>
    <row r="1038" spans="1:7" x14ac:dyDescent="0.3">
      <c r="D1038" s="39" t="s">
        <v>130</v>
      </c>
      <c r="E1038" s="40">
        <f>SUM(E1032:E1037)</f>
        <v>4355.7966666666671</v>
      </c>
      <c r="F1038" s="40"/>
      <c r="G1038" s="40">
        <f>SUM(G1032:G1037)</f>
        <v>4355.7966666666671</v>
      </c>
    </row>
    <row r="1039" spans="1:7" x14ac:dyDescent="0.3">
      <c r="A1039" s="7" t="s">
        <v>63</v>
      </c>
      <c r="F1039" s="13"/>
    </row>
    <row r="1040" spans="1:7" x14ac:dyDescent="0.3">
      <c r="A1040" t="s">
        <v>870</v>
      </c>
      <c r="B1040" t="s">
        <v>886</v>
      </c>
      <c r="C1040" s="37">
        <f>(25+2)*$D$1022</f>
        <v>32.4</v>
      </c>
      <c r="D1040" s="16">
        <f>$C$1022</f>
        <v>32.5</v>
      </c>
      <c r="E1040" s="13">
        <f t="shared" ref="E1040:E1045" si="32">C1040*D1040</f>
        <v>1053</v>
      </c>
      <c r="F1040" s="13"/>
      <c r="G1040" s="13">
        <f>E1040*(1+(IF('Attributes Inputs and Outputs'!$O$8=Inputs!$C$44,Inputs!$C$45,IF('Attributes Inputs and Outputs'!$O$8=Inputs!$D$44,Inputs!$D$45,IF('Attributes Inputs and Outputs'!$O$8=Inputs!$E$44,Inputs!$E$45,IF('Attributes Inputs and Outputs'!$O$8=Inputs!$F$44,Inputs!$F$45,Inputs!$G$45))))))</f>
        <v>1053</v>
      </c>
    </row>
    <row r="1041" spans="1:7" x14ac:dyDescent="0.3">
      <c r="A1041" t="s">
        <v>872</v>
      </c>
      <c r="B1041" t="s">
        <v>887</v>
      </c>
      <c r="C1041" s="37">
        <f>1/3*55+1/2*25</f>
        <v>30.833333333333332</v>
      </c>
      <c r="D1041" s="16">
        <f>$C$1022</f>
        <v>32.5</v>
      </c>
      <c r="E1041" s="13">
        <f t="shared" si="32"/>
        <v>1002.0833333333333</v>
      </c>
      <c r="F1041" s="13"/>
      <c r="G1041" s="13">
        <f>E1041*(1+(IF('Attributes Inputs and Outputs'!$O$8=Inputs!$C$44,Inputs!$C$45,IF('Attributes Inputs and Outputs'!$O$8=Inputs!$D$44,Inputs!$D$45,IF('Attributes Inputs and Outputs'!$O$8=Inputs!$E$44,Inputs!$E$45,IF('Attributes Inputs and Outputs'!$O$8=Inputs!$F$44,Inputs!$F$45,Inputs!$G$45))))))</f>
        <v>1002.0833333333333</v>
      </c>
    </row>
    <row r="1042" spans="1:7" x14ac:dyDescent="0.3">
      <c r="A1042" t="s">
        <v>871</v>
      </c>
      <c r="B1042" t="s">
        <v>886</v>
      </c>
      <c r="C1042" s="37">
        <f>60+2</f>
        <v>62</v>
      </c>
      <c r="D1042" s="16">
        <f>$E$1022</f>
        <v>36</v>
      </c>
      <c r="E1042" s="13">
        <f t="shared" si="32"/>
        <v>2232</v>
      </c>
      <c r="F1042" s="13"/>
      <c r="G1042" s="13">
        <f>E1042*(1+(IF('Attributes Inputs and Outputs'!$O$8=Inputs!$C$44,Inputs!$C$45,IF('Attributes Inputs and Outputs'!$O$8=Inputs!$D$44,Inputs!$D$45,IF('Attributes Inputs and Outputs'!$O$8=Inputs!$E$44,Inputs!$E$45,IF('Attributes Inputs and Outputs'!$O$8=Inputs!$F$44,Inputs!$F$45,Inputs!$G$45))))))</f>
        <v>2232</v>
      </c>
    </row>
    <row r="1043" spans="1:7" x14ac:dyDescent="0.3">
      <c r="A1043" t="s">
        <v>873</v>
      </c>
      <c r="B1043" t="s">
        <v>887</v>
      </c>
      <c r="C1043" s="37">
        <f>1/3*55+1/2*25</f>
        <v>30.833333333333332</v>
      </c>
      <c r="D1043" s="16">
        <f>$E$1022</f>
        <v>36</v>
      </c>
      <c r="E1043" s="13">
        <f t="shared" si="32"/>
        <v>1110</v>
      </c>
      <c r="F1043" s="13"/>
      <c r="G1043" s="13">
        <f>E1043*(1+(IF('Attributes Inputs and Outputs'!$O$8=Inputs!$C$44,Inputs!$C$45,IF('Attributes Inputs and Outputs'!$O$8=Inputs!$D$44,Inputs!$D$45,IF('Attributes Inputs and Outputs'!$O$8=Inputs!$E$44,Inputs!$E$45,IF('Attributes Inputs and Outputs'!$O$8=Inputs!$F$44,Inputs!$F$45,Inputs!$G$45))))))</f>
        <v>1110</v>
      </c>
    </row>
    <row r="1044" spans="1:7" x14ac:dyDescent="0.3">
      <c r="A1044" t="s">
        <v>874</v>
      </c>
      <c r="B1044" t="s">
        <v>886</v>
      </c>
      <c r="C1044" s="14">
        <f>0.5+0.04</f>
        <v>0.54</v>
      </c>
      <c r="D1044" s="16">
        <f>$G$1022</f>
        <v>2299</v>
      </c>
      <c r="E1044" s="13">
        <f t="shared" si="32"/>
        <v>1241.46</v>
      </c>
      <c r="F1044" s="13"/>
      <c r="G1044" s="13">
        <f>E1044*(1+(IF('Attributes Inputs and Outputs'!$O$8=Inputs!$C$44,Inputs!$C$45,IF('Attributes Inputs and Outputs'!$O$8=Inputs!$D$44,Inputs!$D$45,IF('Attributes Inputs and Outputs'!$O$8=Inputs!$E$44,Inputs!$E$45,IF('Attributes Inputs and Outputs'!$O$8=Inputs!$F$44,Inputs!$F$45,Inputs!$G$45))))))</f>
        <v>1241.46</v>
      </c>
    </row>
    <row r="1045" spans="1:7" x14ac:dyDescent="0.3">
      <c r="A1045" t="s">
        <v>875</v>
      </c>
      <c r="B1045" t="s">
        <v>887</v>
      </c>
      <c r="C1045" s="14">
        <f>55*8/1500+25*8/1000</f>
        <v>0.49333333333333335</v>
      </c>
      <c r="D1045" s="16">
        <f>$G$1022</f>
        <v>2299</v>
      </c>
      <c r="E1045" s="13">
        <f t="shared" si="32"/>
        <v>1134.1733333333334</v>
      </c>
      <c r="F1045" s="13"/>
      <c r="G1045" s="13">
        <f>E1045*(1+(IF('Attributes Inputs and Outputs'!$O$8=Inputs!$C$44,Inputs!$C$45,IF('Attributes Inputs and Outputs'!$O$8=Inputs!$D$44,Inputs!$D$45,IF('Attributes Inputs and Outputs'!$O$8=Inputs!$E$44,Inputs!$E$45,IF('Attributes Inputs and Outputs'!$O$8=Inputs!$F$44,Inputs!$F$45,Inputs!$G$45))))))</f>
        <v>1134.1733333333334</v>
      </c>
    </row>
    <row r="1046" spans="1:7" x14ac:dyDescent="0.3">
      <c r="D1046" s="39" t="s">
        <v>133</v>
      </c>
      <c r="E1046" s="40">
        <f>SUM(E1040:E1045)</f>
        <v>7772.7166666666662</v>
      </c>
      <c r="F1046" s="40"/>
      <c r="G1046" s="40">
        <f>SUM(G1040:G1045)</f>
        <v>7772.7166666666662</v>
      </c>
    </row>
    <row r="1047" spans="1:7" x14ac:dyDescent="0.3">
      <c r="A1047" s="7" t="s">
        <v>64</v>
      </c>
      <c r="F1047" s="13"/>
    </row>
    <row r="1048" spans="1:7" x14ac:dyDescent="0.3">
      <c r="A1048" t="s">
        <v>870</v>
      </c>
      <c r="B1048" t="s">
        <v>888</v>
      </c>
      <c r="C1048" s="37">
        <f>(40+2)*$D$1022</f>
        <v>50.4</v>
      </c>
      <c r="D1048" s="16">
        <f>$C$1022</f>
        <v>32.5</v>
      </c>
      <c r="E1048" s="13">
        <f t="shared" ref="E1048:E1053" si="33">C1048*D1048</f>
        <v>1638</v>
      </c>
      <c r="F1048" s="13"/>
      <c r="G1048" s="13">
        <f>E1048*(1+(IF('Attributes Inputs and Outputs'!$O$8=Inputs!$C$44,Inputs!$C$45,IF('Attributes Inputs and Outputs'!$O$8=Inputs!$D$44,Inputs!$D$45,IF('Attributes Inputs and Outputs'!$O$8=Inputs!$E$44,Inputs!$E$45,IF('Attributes Inputs and Outputs'!$O$8=Inputs!$F$44,Inputs!$F$45,Inputs!$G$45))))))</f>
        <v>1638</v>
      </c>
    </row>
    <row r="1049" spans="1:7" x14ac:dyDescent="0.3">
      <c r="A1049" t="s">
        <v>872</v>
      </c>
      <c r="B1049" t="s">
        <v>887</v>
      </c>
      <c r="C1049" s="37">
        <f>1/3*55+1/2*25</f>
        <v>30.833333333333332</v>
      </c>
      <c r="D1049" s="16">
        <f>$C$1022</f>
        <v>32.5</v>
      </c>
      <c r="E1049" s="13">
        <f t="shared" si="33"/>
        <v>1002.0833333333333</v>
      </c>
      <c r="F1049" s="13"/>
      <c r="G1049" s="13">
        <f>E1049*(1+(IF('Attributes Inputs and Outputs'!$O$8=Inputs!$C$44,Inputs!$C$45,IF('Attributes Inputs and Outputs'!$O$8=Inputs!$D$44,Inputs!$D$45,IF('Attributes Inputs and Outputs'!$O$8=Inputs!$E$44,Inputs!$E$45,IF('Attributes Inputs and Outputs'!$O$8=Inputs!$F$44,Inputs!$F$45,Inputs!$G$45))))))</f>
        <v>1002.0833333333333</v>
      </c>
    </row>
    <row r="1050" spans="1:7" x14ac:dyDescent="0.3">
      <c r="A1050" t="s">
        <v>871</v>
      </c>
      <c r="B1050" t="s">
        <v>888</v>
      </c>
      <c r="C1050" s="37">
        <f>90+2</f>
        <v>92</v>
      </c>
      <c r="D1050" s="16">
        <f>$E$1022</f>
        <v>36</v>
      </c>
      <c r="E1050" s="13">
        <f t="shared" si="33"/>
        <v>3312</v>
      </c>
      <c r="F1050" s="13"/>
      <c r="G1050" s="13">
        <f>E1050*(1+(IF('Attributes Inputs and Outputs'!$O$8=Inputs!$C$44,Inputs!$C$45,IF('Attributes Inputs and Outputs'!$O$8=Inputs!$D$44,Inputs!$D$45,IF('Attributes Inputs and Outputs'!$O$8=Inputs!$E$44,Inputs!$E$45,IF('Attributes Inputs and Outputs'!$O$8=Inputs!$F$44,Inputs!$F$45,Inputs!$G$45))))))</f>
        <v>3312</v>
      </c>
    </row>
    <row r="1051" spans="1:7" x14ac:dyDescent="0.3">
      <c r="A1051" t="s">
        <v>873</v>
      </c>
      <c r="B1051" t="s">
        <v>887</v>
      </c>
      <c r="C1051" s="37">
        <f>1/3*55+1/2*25</f>
        <v>30.833333333333332</v>
      </c>
      <c r="D1051" s="16">
        <f>$E$1022</f>
        <v>36</v>
      </c>
      <c r="E1051" s="13">
        <f t="shared" si="33"/>
        <v>1110</v>
      </c>
      <c r="F1051" s="13"/>
      <c r="G1051" s="13">
        <f>E1051*(1+(IF('Attributes Inputs and Outputs'!$O$8=Inputs!$C$44,Inputs!$C$45,IF('Attributes Inputs and Outputs'!$O$8=Inputs!$D$44,Inputs!$D$45,IF('Attributes Inputs and Outputs'!$O$8=Inputs!$E$44,Inputs!$E$45,IF('Attributes Inputs and Outputs'!$O$8=Inputs!$F$44,Inputs!$F$45,Inputs!$G$45))))))</f>
        <v>1110</v>
      </c>
    </row>
    <row r="1052" spans="1:7" x14ac:dyDescent="0.3">
      <c r="A1052" t="s">
        <v>874</v>
      </c>
      <c r="B1052" t="s">
        <v>888</v>
      </c>
      <c r="C1052" s="14">
        <f>0.75+0.04</f>
        <v>0.79</v>
      </c>
      <c r="D1052" s="16">
        <f>$G$1022</f>
        <v>2299</v>
      </c>
      <c r="E1052" s="13">
        <f t="shared" si="33"/>
        <v>1816.21</v>
      </c>
      <c r="F1052" s="13"/>
      <c r="G1052" s="13">
        <f>E1052*(1+(IF('Attributes Inputs and Outputs'!$O$8=Inputs!$C$44,Inputs!$C$45,IF('Attributes Inputs and Outputs'!$O$8=Inputs!$D$44,Inputs!$D$45,IF('Attributes Inputs and Outputs'!$O$8=Inputs!$E$44,Inputs!$E$45,IF('Attributes Inputs and Outputs'!$O$8=Inputs!$F$44,Inputs!$F$45,Inputs!$G$45))))))</f>
        <v>1816.21</v>
      </c>
    </row>
    <row r="1053" spans="1:7" x14ac:dyDescent="0.3">
      <c r="A1053" t="s">
        <v>875</v>
      </c>
      <c r="B1053" t="s">
        <v>887</v>
      </c>
      <c r="C1053" s="14">
        <f>55*8/1500+25*8/1000</f>
        <v>0.49333333333333335</v>
      </c>
      <c r="D1053" s="16">
        <f>$G$1022</f>
        <v>2299</v>
      </c>
      <c r="E1053" s="13">
        <f t="shared" si="33"/>
        <v>1134.1733333333334</v>
      </c>
      <c r="F1053" s="13"/>
      <c r="G1053" s="13">
        <f>E1053*(1+(IF('Attributes Inputs and Outputs'!$O$8=Inputs!$C$44,Inputs!$C$45,IF('Attributes Inputs and Outputs'!$O$8=Inputs!$D$44,Inputs!$D$45,IF('Attributes Inputs and Outputs'!$O$8=Inputs!$E$44,Inputs!$E$45,IF('Attributes Inputs and Outputs'!$O$8=Inputs!$F$44,Inputs!$F$45,Inputs!$G$45))))))</f>
        <v>1134.1733333333334</v>
      </c>
    </row>
    <row r="1054" spans="1:7" x14ac:dyDescent="0.3">
      <c r="D1054" s="39" t="s">
        <v>137</v>
      </c>
      <c r="E1054" s="40">
        <f>SUM(E1048:E1053)</f>
        <v>10012.466666666667</v>
      </c>
      <c r="F1054" s="40"/>
      <c r="G1054" s="40">
        <f>SUM(G1048:G1053)</f>
        <v>10012.466666666667</v>
      </c>
    </row>
    <row r="1057" spans="1:7" x14ac:dyDescent="0.3">
      <c r="F1057" t="s">
        <v>158</v>
      </c>
    </row>
    <row r="1058" spans="1:7" x14ac:dyDescent="0.3">
      <c r="B1058" s="42" t="s">
        <v>103</v>
      </c>
      <c r="F1058" s="11">
        <f>'Attributes Inputs and Outputs'!D25</f>
        <v>2299</v>
      </c>
    </row>
    <row r="1059" spans="1:7" x14ac:dyDescent="0.3">
      <c r="A1059" s="7" t="s">
        <v>61</v>
      </c>
      <c r="C1059" t="s">
        <v>909</v>
      </c>
      <c r="D1059" t="s">
        <v>896</v>
      </c>
      <c r="E1059" s="16"/>
    </row>
    <row r="1060" spans="1:7" x14ac:dyDescent="0.3">
      <c r="A1060" t="s">
        <v>892</v>
      </c>
      <c r="B1060" t="s">
        <v>914</v>
      </c>
      <c r="C1060" s="13">
        <v>10000</v>
      </c>
      <c r="D1060" s="34">
        <f>IF(AND('Attributes Inputs and Outputs'!$J$8=2,'Attributes Inputs and Outputs'!$E$8='Defaults and Ranges'!$G$26, $F$1058&lt;=4000),1.5,0.75)</f>
        <v>0.75</v>
      </c>
      <c r="F1060" s="13"/>
      <c r="G1060" s="13">
        <f>C1060+D1060*(($F$1058/IF(AND($C$1061&gt;0, $C$1062&gt;0), 3, IF($C$1061&gt;0, 2, 1) ))-1699)</f>
        <v>9587.875</v>
      </c>
    </row>
    <row r="1061" spans="1:7" x14ac:dyDescent="0.3">
      <c r="A1061" t="s">
        <v>893</v>
      </c>
      <c r="B1061" t="s">
        <v>917</v>
      </c>
      <c r="C1061" s="13">
        <v>10000</v>
      </c>
      <c r="D1061" s="34">
        <f>IF($F$1058&gt;4000, 0.75, 0)</f>
        <v>0</v>
      </c>
      <c r="E1061" s="13"/>
      <c r="F1061" s="13"/>
      <c r="G1061" s="13">
        <f>C1061+D1061*(($F$1058/IF(AND($C$1061&gt;0, $C$1062&gt;0), 3, IF($C$1061&gt;0, 2, 1) ))-1699)</f>
        <v>10000</v>
      </c>
    </row>
    <row r="1062" spans="1:7" x14ac:dyDescent="0.3">
      <c r="A1062" t="s">
        <v>915</v>
      </c>
      <c r="B1062" t="s">
        <v>916</v>
      </c>
      <c r="C1062" s="13">
        <f>IF($F$1058&gt;8000, 6000,0)</f>
        <v>0</v>
      </c>
      <c r="D1062" s="34">
        <f>IF($F$1058&gt;8000, 0.75,0)</f>
        <v>0</v>
      </c>
      <c r="E1062" s="13"/>
      <c r="F1062" s="13"/>
      <c r="G1062" s="13">
        <f>C1062+D1062*(($F$1058/IF(AND($C$1061&gt;0, $C$1062&gt;0), 3, IF($C$1061&gt;0, 2, 1) ))-1699)</f>
        <v>0</v>
      </c>
    </row>
    <row r="1063" spans="1:7" x14ac:dyDescent="0.3">
      <c r="A1063" t="s">
        <v>894</v>
      </c>
      <c r="B1063" s="20" t="s">
        <v>910</v>
      </c>
      <c r="C1063" s="13">
        <v>0</v>
      </c>
      <c r="D1063" s="34">
        <v>0.95</v>
      </c>
      <c r="E1063" s="13"/>
      <c r="F1063" s="13"/>
      <c r="G1063" s="13">
        <f>D1063*(G1060+G1061)-G1060-G1061</f>
        <v>-979.39374999999927</v>
      </c>
    </row>
    <row r="1064" spans="1:7" x14ac:dyDescent="0.3">
      <c r="A1064" t="s">
        <v>895</v>
      </c>
      <c r="B1064" t="s">
        <v>187</v>
      </c>
      <c r="C1064" s="13"/>
      <c r="D1064" s="48"/>
      <c r="E1064" s="13"/>
      <c r="F1064" s="13"/>
      <c r="G1064" s="13"/>
    </row>
    <row r="1065" spans="1:7" x14ac:dyDescent="0.3">
      <c r="A1065" t="s">
        <v>921</v>
      </c>
      <c r="B1065" t="s">
        <v>976</v>
      </c>
      <c r="C1065" s="13"/>
      <c r="D1065" s="48"/>
      <c r="E1065" s="13"/>
      <c r="F1065" s="13"/>
      <c r="G1065" s="13"/>
    </row>
    <row r="1066" spans="1:7" x14ac:dyDescent="0.3">
      <c r="D1066" s="39" t="s">
        <v>127</v>
      </c>
      <c r="E1066" s="40">
        <f>SUM(E1060:E1065)</f>
        <v>0</v>
      </c>
      <c r="F1066" s="40">
        <f>SUM(F1060:F1065)</f>
        <v>0</v>
      </c>
      <c r="G1066" s="40">
        <f>SUM(G1060:G1065)</f>
        <v>18608.481250000001</v>
      </c>
    </row>
    <row r="1067" spans="1:7" x14ac:dyDescent="0.3">
      <c r="A1067" s="7" t="s">
        <v>62</v>
      </c>
      <c r="C1067" s="13"/>
      <c r="D1067" s="13"/>
      <c r="E1067" s="13"/>
      <c r="F1067" s="13"/>
    </row>
    <row r="1068" spans="1:7" x14ac:dyDescent="0.3">
      <c r="A1068" t="s">
        <v>892</v>
      </c>
      <c r="B1068" t="s">
        <v>908</v>
      </c>
      <c r="C1068" s="13">
        <v>12000</v>
      </c>
      <c r="D1068" s="34">
        <v>0.75</v>
      </c>
      <c r="F1068" s="13"/>
      <c r="G1068" s="13">
        <f>C1068+D1068*(($F$1058/IF(AND($C$1069&gt;0, $C$1070&gt;0), 3, IF($C$1069&gt;0, 2, 1) ))-1699)</f>
        <v>11587.875</v>
      </c>
    </row>
    <row r="1069" spans="1:7" x14ac:dyDescent="0.3">
      <c r="A1069" t="s">
        <v>893</v>
      </c>
      <c r="B1069" t="s">
        <v>907</v>
      </c>
      <c r="C1069" s="13">
        <v>12000</v>
      </c>
      <c r="D1069" s="34">
        <f>IF(OR(AND('Attributes Inputs and Outputs'!$J$8=2,'Attributes Inputs and Outputs'!$E$8='Defaults and Ranges'!$G$26), $F$1058&gt;=2500),0.75,0)</f>
        <v>0</v>
      </c>
      <c r="E1069" s="13"/>
      <c r="F1069" s="13"/>
      <c r="G1069" s="13">
        <f>C1069+D1069*(($F$1058/IF(AND($C$1069&gt;0, $C$1070&gt;0), 3, IF($C$1069&gt;0, 2, 1) ))-1699)</f>
        <v>12000</v>
      </c>
    </row>
    <row r="1070" spans="1:7" x14ac:dyDescent="0.3">
      <c r="A1070" t="s">
        <v>915</v>
      </c>
      <c r="B1070" t="s">
        <v>916</v>
      </c>
      <c r="C1070" s="13">
        <f>IF($F$1058&gt;8000, 6000,0)</f>
        <v>0</v>
      </c>
      <c r="D1070" s="34">
        <f>IF($F$1058&gt;8000, 0.75,0)</f>
        <v>0</v>
      </c>
      <c r="E1070" s="13"/>
      <c r="F1070" s="13"/>
      <c r="G1070" s="13">
        <f>C1070+D1070*(($F$1058/IF(AND($C$1069&gt;0, $C$1070&gt;0), 3, IF($C$1069&gt;0, 2, 1) ))-1699)</f>
        <v>0</v>
      </c>
    </row>
    <row r="1071" spans="1:7" x14ac:dyDescent="0.3">
      <c r="A1071" t="s">
        <v>894</v>
      </c>
      <c r="B1071" s="20" t="s">
        <v>911</v>
      </c>
      <c r="C1071" s="13"/>
      <c r="D1071" s="48">
        <v>1</v>
      </c>
      <c r="E1071" s="13"/>
      <c r="F1071" s="13"/>
      <c r="G1071" s="13">
        <f>D1071*(G1068+G1069)-G1068-G1069</f>
        <v>0</v>
      </c>
    </row>
    <row r="1072" spans="1:7" x14ac:dyDescent="0.3">
      <c r="A1072" t="s">
        <v>895</v>
      </c>
      <c r="B1072" t="s">
        <v>918</v>
      </c>
      <c r="C1072" s="13">
        <f>IF(AND(OR(AND('Attributes Inputs and Outputs'!$J$8=1,'Attributes Inputs and Outputs'!$E$8='Defaults and Ranges'!$G$26),AND('Attributes Inputs and Outputs'!$J$8=2,NOT('Attributes Inputs and Outputs'!$E$8='Defaults and Ranges'!$G$26)) ), $F$1058&lt;2500),1500,0)</f>
        <v>1500</v>
      </c>
      <c r="D1072" s="48"/>
      <c r="E1072" s="13"/>
      <c r="F1072" s="13"/>
      <c r="G1072" s="51">
        <f>C1072</f>
        <v>1500</v>
      </c>
    </row>
    <row r="1073" spans="1:7" x14ac:dyDescent="0.3">
      <c r="A1073" t="s">
        <v>921</v>
      </c>
      <c r="B1073" t="s">
        <v>976</v>
      </c>
      <c r="C1073" s="13">
        <v>0</v>
      </c>
      <c r="D1073" s="16">
        <f>1+(C1072/1500)+IF(C1069&gt;0, 1, 0)+IF(C1070&gt;0, 1, 0)</f>
        <v>3</v>
      </c>
      <c r="E1073" s="13"/>
      <c r="F1073" s="13"/>
      <c r="G1073" s="13">
        <f>C1073*D1073</f>
        <v>0</v>
      </c>
    </row>
    <row r="1074" spans="1:7" x14ac:dyDescent="0.3">
      <c r="C1074" s="13"/>
      <c r="D1074" s="39" t="s">
        <v>130</v>
      </c>
      <c r="E1074" s="40">
        <f>SUM(E1068:E1073)</f>
        <v>0</v>
      </c>
      <c r="F1074" s="40">
        <f>SUM(F1068:F1073)</f>
        <v>0</v>
      </c>
      <c r="G1074" s="40">
        <f>SUM(G1068:G1073)</f>
        <v>25087.875</v>
      </c>
    </row>
    <row r="1075" spans="1:7" x14ac:dyDescent="0.3">
      <c r="A1075" s="7" t="s">
        <v>63</v>
      </c>
      <c r="C1075" s="13"/>
      <c r="F1075" s="13"/>
    </row>
    <row r="1076" spans="1:7" x14ac:dyDescent="0.3">
      <c r="A1076" t="s">
        <v>892</v>
      </c>
      <c r="B1076" t="s">
        <v>912</v>
      </c>
      <c r="C1076" s="13">
        <v>14000</v>
      </c>
      <c r="D1076" s="14">
        <v>0.75</v>
      </c>
      <c r="E1076" s="13"/>
      <c r="F1076" s="13"/>
      <c r="G1076" s="13">
        <f>C1076+D1076*(($F$1058/IF(AND($C$1077&gt;0, $C$1078&gt;0), 3, IF($C$1077&gt;0, 2, 1) ))-1699)</f>
        <v>13587.875</v>
      </c>
    </row>
    <row r="1077" spans="1:7" x14ac:dyDescent="0.3">
      <c r="A1077" t="s">
        <v>893</v>
      </c>
      <c r="B1077" t="s">
        <v>912</v>
      </c>
      <c r="C1077" s="13">
        <v>14000</v>
      </c>
      <c r="D1077" s="14">
        <v>0.75</v>
      </c>
      <c r="E1077" s="13"/>
      <c r="F1077" s="13"/>
      <c r="G1077" s="13">
        <f>C1077+D1077*(($F$1058/IF(AND($C$1077&gt;0, $C$1078&gt;0), 3, IF($C$1077&gt;0, 2, 1) ))-1699)</f>
        <v>13587.875</v>
      </c>
    </row>
    <row r="1078" spans="1:7" x14ac:dyDescent="0.3">
      <c r="A1078" t="s">
        <v>915</v>
      </c>
      <c r="B1078" t="s">
        <v>916</v>
      </c>
      <c r="C1078" s="13">
        <f>IF($F$1058&gt;8000, 6000,0)</f>
        <v>0</v>
      </c>
      <c r="D1078" s="34">
        <f>IF($F$1058&gt;8000, 0.75,0)</f>
        <v>0</v>
      </c>
      <c r="E1078" s="13"/>
      <c r="F1078" s="13"/>
      <c r="G1078" s="13">
        <f>C1078+D1078*(($F$1058/IF(AND($C$1077&gt;0, $C$1078&gt;0), 3, IF($C$1077&gt;0, 2, 1) ))-1699)</f>
        <v>0</v>
      </c>
    </row>
    <row r="1079" spans="1:7" x14ac:dyDescent="0.3">
      <c r="A1079" t="s">
        <v>894</v>
      </c>
      <c r="B1079" t="s">
        <v>913</v>
      </c>
      <c r="C1079" s="13"/>
      <c r="D1079" s="34">
        <v>1.1000000000000001</v>
      </c>
      <c r="E1079" s="13"/>
      <c r="F1079" s="13"/>
      <c r="G1079" s="13">
        <f>D1079*(G1076+G1077)-G1076-G1077</f>
        <v>2717.5750000000007</v>
      </c>
    </row>
    <row r="1080" spans="1:7" x14ac:dyDescent="0.3">
      <c r="A1080" t="s">
        <v>895</v>
      </c>
      <c r="B1080" t="s">
        <v>919</v>
      </c>
      <c r="C1080" s="13">
        <f>IF($F$1058&lt;2500,1,2)*3000</f>
        <v>3000</v>
      </c>
      <c r="D1080" s="37"/>
      <c r="E1080" s="13"/>
      <c r="F1080" s="13"/>
      <c r="G1080" s="51">
        <f>C1080</f>
        <v>3000</v>
      </c>
    </row>
    <row r="1081" spans="1:7" x14ac:dyDescent="0.3">
      <c r="A1081" t="s">
        <v>921</v>
      </c>
      <c r="B1081" t="s">
        <v>976</v>
      </c>
      <c r="C1081" s="13">
        <v>0</v>
      </c>
      <c r="D1081" s="16">
        <f>2+(C1080/1500)+IF(C1078&gt;0, 1, 0)</f>
        <v>4</v>
      </c>
      <c r="E1081" s="13"/>
      <c r="F1081" s="13"/>
      <c r="G1081" s="13">
        <f>C1081*D1081</f>
        <v>0</v>
      </c>
    </row>
    <row r="1082" spans="1:7" x14ac:dyDescent="0.3">
      <c r="C1082" s="13"/>
      <c r="D1082" s="39" t="s">
        <v>133</v>
      </c>
      <c r="E1082" s="40">
        <f>SUM(E1076:E1081)</f>
        <v>0</v>
      </c>
      <c r="F1082" s="40">
        <f>SUM(F1076:F1081)</f>
        <v>0</v>
      </c>
      <c r="G1082" s="40">
        <f>SUM(G1076:G1081)</f>
        <v>32893.324999999997</v>
      </c>
    </row>
    <row r="1083" spans="1:7" x14ac:dyDescent="0.3">
      <c r="A1083" s="7" t="s">
        <v>64</v>
      </c>
      <c r="B1083" s="13"/>
      <c r="C1083" s="13"/>
      <c r="F1083" s="13"/>
      <c r="G1083" t="s">
        <v>194</v>
      </c>
    </row>
    <row r="1084" spans="1:7" x14ac:dyDescent="0.3">
      <c r="A1084" t="s">
        <v>892</v>
      </c>
      <c r="B1084" t="s">
        <v>912</v>
      </c>
      <c r="C1084" s="13">
        <v>14000</v>
      </c>
      <c r="D1084" s="14">
        <v>0.75</v>
      </c>
      <c r="E1084" s="13"/>
      <c r="F1084" s="13"/>
      <c r="G1084" s="13">
        <f>C1084+D1084*(($F$1058/IF(AND($C$1085&gt;0, $C$1086&gt;0), 3, IF($C$1085&gt;0, 2, 1) ))-1699)</f>
        <v>13587.875</v>
      </c>
    </row>
    <row r="1085" spans="1:7" x14ac:dyDescent="0.3">
      <c r="A1085" t="s">
        <v>893</v>
      </c>
      <c r="B1085" t="s">
        <v>912</v>
      </c>
      <c r="C1085" s="13">
        <v>14000</v>
      </c>
      <c r="D1085" s="14">
        <v>0.75</v>
      </c>
      <c r="E1085" s="13"/>
      <c r="F1085" s="13"/>
      <c r="G1085" s="13">
        <f>C1085+D1085*(($F$1058/IF(AND($C$1085&gt;0, $C$1086&gt;0), 3, IF($C$1085&gt;0, 2, 1) ))-1699)</f>
        <v>13587.875</v>
      </c>
    </row>
    <row r="1086" spans="1:7" x14ac:dyDescent="0.3">
      <c r="A1086" t="s">
        <v>915</v>
      </c>
      <c r="B1086" t="s">
        <v>916</v>
      </c>
      <c r="C1086" s="13">
        <f>IF($F$1058&gt;8000, 8000,0)</f>
        <v>0</v>
      </c>
      <c r="D1086" s="34">
        <f>IF($F$1058&gt;8000, 0.75,0)</f>
        <v>0</v>
      </c>
      <c r="E1086" s="13"/>
      <c r="F1086" s="13"/>
      <c r="G1086" s="13">
        <f>C1086+D1086*(($F$1058/IF(AND($C$1085&gt;0, $C$1086&gt;0), 3, IF($C$1085&gt;0, 2, 1) ))-1699)</f>
        <v>0</v>
      </c>
    </row>
    <row r="1087" spans="1:7" x14ac:dyDescent="0.3">
      <c r="A1087" t="s">
        <v>894</v>
      </c>
      <c r="B1087" t="s">
        <v>913</v>
      </c>
      <c r="C1087" s="13"/>
      <c r="D1087" s="34">
        <v>1.1000000000000001</v>
      </c>
      <c r="E1087" s="13"/>
      <c r="F1087" s="13"/>
      <c r="G1087" s="13">
        <f>D1087*(G1084+G1085)-G1084-G1085</f>
        <v>2717.5750000000007</v>
      </c>
    </row>
    <row r="1088" spans="1:7" x14ac:dyDescent="0.3">
      <c r="A1088" t="s">
        <v>895</v>
      </c>
      <c r="B1088" t="s">
        <v>920</v>
      </c>
      <c r="C1088" s="13">
        <f>IF($F$1058&lt;2200, 2, IF($F$1058 &lt; 4000, 3, 4))*3000</f>
        <v>9000</v>
      </c>
      <c r="D1088" s="48"/>
      <c r="E1088" s="13"/>
      <c r="F1088" s="13"/>
      <c r="G1088" s="51">
        <f>C1088</f>
        <v>9000</v>
      </c>
    </row>
    <row r="1089" spans="1:10" x14ac:dyDescent="0.3">
      <c r="A1089" t="s">
        <v>921</v>
      </c>
      <c r="B1089" t="s">
        <v>976</v>
      </c>
      <c r="C1089" s="13">
        <v>0</v>
      </c>
      <c r="D1089" s="16">
        <f>2+(C1088/1500)+IF(C1086&gt;0, 1, 0)</f>
        <v>8</v>
      </c>
      <c r="E1089" s="13"/>
      <c r="F1089" s="13"/>
      <c r="G1089" s="13">
        <f>C1089*D1089</f>
        <v>0</v>
      </c>
    </row>
    <row r="1090" spans="1:10" x14ac:dyDescent="0.3">
      <c r="D1090" s="39" t="s">
        <v>137</v>
      </c>
      <c r="E1090" s="40">
        <f>SUM(E1084:E1089)</f>
        <v>0</v>
      </c>
      <c r="F1090" s="40">
        <f>SUM(F1084:F1089)</f>
        <v>0</v>
      </c>
      <c r="G1090" s="40">
        <f>SUM(G1084:G1089)</f>
        <v>38893.324999999997</v>
      </c>
    </row>
    <row r="1093" spans="1:10" x14ac:dyDescent="0.3">
      <c r="C1093" t="s">
        <v>796</v>
      </c>
      <c r="D1093" t="s">
        <v>795</v>
      </c>
      <c r="E1093" t="s">
        <v>782</v>
      </c>
      <c r="F1093" t="s">
        <v>938</v>
      </c>
      <c r="G1093" t="s">
        <v>1222</v>
      </c>
      <c r="H1093" t="s">
        <v>1223</v>
      </c>
      <c r="J1093" t="s">
        <v>1224</v>
      </c>
    </row>
    <row r="1094" spans="1:10" x14ac:dyDescent="0.3">
      <c r="B1094" s="92" t="s">
        <v>104</v>
      </c>
      <c r="C1094" s="11">
        <f>IF(OR('Attributes Inputs and Outputs'!S8='Defaults and Ranges'!W24,'Attributes Inputs and Outputs'!S8='Defaults and Ranges'!W25),IF('Attributes Inputs and Outputs'!J8=2,4*SQRT(('Attributes Calculations'!E16+'Attributes Back Calcs'!G9)/2),4*SQRT('Attributes Calculations'!E16+'Attributes Back Calcs'!G9)),IF('Attributes Inputs and Outputs'!S8='Defaults and Ranges'!W26,IF('Attributes Inputs and Outputs'!J8=2,4*SQRT(('Attributes Calculations'!E16+'Attributes Back Calcs'!G9)/2-'Attributes Back Calcs'!G9)+2*SQRT('Attributes Back Calcs'!G9),4*SQRT('Attributes Calculations'!E16)+2*SQRT('Attributes Back Calcs'!G9)),IF('Attributes Inputs and Outputs'!J8=2,4*SQRT('Attributes Calculations'!E16/2),4*SQRT('Attributes Calculations'!E16)) ))</f>
        <v>149.63956696007912</v>
      </c>
      <c r="D1094">
        <f>IF('Attributes Inputs and Outputs'!J8=2, IF(OR('Attributes Inputs and Outputs'!E8='Defaults and Ranges'!G25,'Attributes Inputs and Outputs'!E8='Defaults and Ranges'!G26), 'Attributes Inputs and Outputs'!L8+'Attributes Inputs and Outputs'!M8+2,'Attributes Inputs and Outputs'!L8+'Attributes Inputs and Outputs'!M8+1), IF(OR('Attributes Inputs and Outputs'!E8='Defaults and Ranges'!G25,'Attributes Inputs and Outputs'!E8='Defaults and Ranges'!G26),'Attributes Inputs and Outputs'!L8+1,'Attributes Inputs and Outputs'!L8) )</f>
        <v>20</v>
      </c>
      <c r="E1094" s="16">
        <f>C1094*D1094</f>
        <v>2992.7913392015826</v>
      </c>
      <c r="F1094" s="16">
        <f>IF('Attributes Inputs and Outputs'!E8='Defaults and Ranges'!G24, 0,'Attributes Inputs and Outputs'!K8*C1094)</f>
        <v>1346.756102640712</v>
      </c>
      <c r="G1094" s="11">
        <f>IF('Packages Inputs and Outputs'!E43='Defaults and Ranges'!B53, G694, IF('Packages Inputs and Outputs'!E43='Defaults and Ranges'!B54, G699,IF('Packages Inputs and Outputs'!E43='Defaults and Ranges'!B55, G704,G709 ) ))</f>
        <v>32.5</v>
      </c>
      <c r="H1094" s="2">
        <f>IF('Packages Inputs and Outputs'!E43='Defaults and Ranges'!B53, G696, IF('Packages Inputs and Outputs'!E43='Defaults and Ranges'!B54, G701,IF('Packages Inputs and Outputs'!E43='Defaults and Ranges'!B55, G706,G711 ) ))</f>
        <v>495.00000000000006</v>
      </c>
      <c r="I1094" s="9">
        <f>G1094*H1094</f>
        <v>16087.500000000002</v>
      </c>
      <c r="J1094">
        <f>IF('Packages Inputs and Outputs'!E48='Defaults and Ranges'!B53, G853, IF('Packages Inputs and Outputs'!E48='Defaults and Ranges'!B54, G864,IF('Packages Inputs and Outputs'!E48='Defaults and Ranges'!B55, G875,G886 ) ))</f>
        <v>5250</v>
      </c>
    </row>
    <row r="1095" spans="1:10" x14ac:dyDescent="0.3">
      <c r="A1095" s="7" t="s">
        <v>61</v>
      </c>
      <c r="B1095" t="s">
        <v>934</v>
      </c>
      <c r="D1095" t="s">
        <v>896</v>
      </c>
      <c r="E1095" s="16" t="s">
        <v>139</v>
      </c>
      <c r="F1095" t="s">
        <v>790</v>
      </c>
      <c r="G1095" t="s">
        <v>939</v>
      </c>
    </row>
    <row r="1096" spans="1:10" x14ac:dyDescent="0.3">
      <c r="A1096" t="s">
        <v>922</v>
      </c>
      <c r="B1096" t="s">
        <v>321</v>
      </c>
      <c r="C1096" s="13"/>
      <c r="D1096" s="34">
        <v>1</v>
      </c>
      <c r="E1096" s="16">
        <f>$E$1094</f>
        <v>2992.7913392015826</v>
      </c>
      <c r="F1096" s="13">
        <f>D1096*E1096</f>
        <v>2992.7913392015826</v>
      </c>
    </row>
    <row r="1097" spans="1:10" x14ac:dyDescent="0.3">
      <c r="A1097" t="s">
        <v>923</v>
      </c>
      <c r="B1097" t="s">
        <v>930</v>
      </c>
      <c r="C1097" s="69"/>
      <c r="D1097" s="34">
        <v>0.45</v>
      </c>
      <c r="E1097" s="16">
        <f>$F$1094</f>
        <v>1346.756102640712</v>
      </c>
      <c r="F1097" s="13">
        <f t="shared" ref="F1097:F1107" si="34">D1097*E1097</f>
        <v>606.04024618832045</v>
      </c>
    </row>
    <row r="1098" spans="1:10" x14ac:dyDescent="0.3">
      <c r="A1098" t="s">
        <v>926</v>
      </c>
      <c r="B1098" t="s">
        <v>1181</v>
      </c>
      <c r="C1098" s="14"/>
      <c r="D1098" s="34">
        <f>IF(OR('Attributes Inputs and Outputs'!$H$17='Defaults and Ranges'!$K$33, 'Attributes Inputs and Outputs'!$T$8='Defaults and Ranges'!$X$25), 1,0.58 )</f>
        <v>0.57999999999999996</v>
      </c>
      <c r="E1098" s="16">
        <f>$D$981</f>
        <v>1399.5</v>
      </c>
      <c r="F1098" s="13">
        <f t="shared" si="34"/>
        <v>811.70999999999992</v>
      </c>
      <c r="G1098" s="13">
        <f>SUM(F1096:F1098)</f>
        <v>4410.541585389903</v>
      </c>
      <c r="H1098" s="64"/>
    </row>
    <row r="1099" spans="1:10" x14ac:dyDescent="0.3">
      <c r="A1099" t="s">
        <v>340</v>
      </c>
      <c r="B1099" s="20" t="s">
        <v>929</v>
      </c>
      <c r="C1099" s="26"/>
      <c r="D1099" s="34">
        <v>0.55000000000000004</v>
      </c>
      <c r="E1099" s="16">
        <f>$E$1094</f>
        <v>2992.7913392015826</v>
      </c>
      <c r="F1099" s="13">
        <f t="shared" si="34"/>
        <v>1646.0352365608705</v>
      </c>
      <c r="G1099" s="13"/>
    </row>
    <row r="1100" spans="1:10" x14ac:dyDescent="0.3">
      <c r="A1100" t="s">
        <v>924</v>
      </c>
      <c r="B1100" t="s">
        <v>930</v>
      </c>
      <c r="C1100" s="13"/>
      <c r="D1100" s="34">
        <v>0.45</v>
      </c>
      <c r="E1100" s="16">
        <f>$F$1094</f>
        <v>1346.756102640712</v>
      </c>
      <c r="F1100" s="13">
        <f t="shared" si="34"/>
        <v>606.04024618832045</v>
      </c>
      <c r="G1100" s="13"/>
    </row>
    <row r="1101" spans="1:10" x14ac:dyDescent="0.3">
      <c r="A1101" t="s">
        <v>927</v>
      </c>
      <c r="B1101" t="s">
        <v>1182</v>
      </c>
      <c r="C1101" s="14"/>
      <c r="D1101" s="34">
        <f>IF(OR('Attributes Inputs and Outputs'!$H$17='Defaults and Ranges'!$K$33, 'Attributes Inputs and Outputs'!$T$8='Defaults and Ranges'!$X$25), 1,0.58 )</f>
        <v>0.57999999999999996</v>
      </c>
      <c r="E1101" s="16">
        <f>$D$981</f>
        <v>1399.5</v>
      </c>
      <c r="F1101" s="13">
        <f t="shared" si="34"/>
        <v>811.70999999999992</v>
      </c>
      <c r="G1101" s="13">
        <f>SUM(F1099:F1101)</f>
        <v>3063.785482749191</v>
      </c>
    </row>
    <row r="1102" spans="1:10" x14ac:dyDescent="0.3">
      <c r="A1102" t="s">
        <v>1165</v>
      </c>
      <c r="B1102" t="s">
        <v>1168</v>
      </c>
      <c r="C1102" s="13"/>
      <c r="D1102" s="34">
        <v>0</v>
      </c>
      <c r="E1102" s="16">
        <f>$E$1094</f>
        <v>2992.7913392015826</v>
      </c>
      <c r="F1102" s="13">
        <f t="shared" si="34"/>
        <v>0</v>
      </c>
      <c r="G1102" s="13"/>
    </row>
    <row r="1103" spans="1:10" x14ac:dyDescent="0.3">
      <c r="A1103" t="s">
        <v>1166</v>
      </c>
      <c r="B1103" t="s">
        <v>1168</v>
      </c>
      <c r="C1103" s="13"/>
      <c r="D1103" s="34">
        <v>0</v>
      </c>
      <c r="E1103" s="16">
        <f>$F$1094</f>
        <v>1346.756102640712</v>
      </c>
      <c r="F1103" s="13">
        <f t="shared" si="34"/>
        <v>0</v>
      </c>
      <c r="G1103" s="13"/>
    </row>
    <row r="1104" spans="1:10" x14ac:dyDescent="0.3">
      <c r="A1104" t="s">
        <v>1167</v>
      </c>
      <c r="B1104" t="s">
        <v>1181</v>
      </c>
      <c r="C1104" s="14"/>
      <c r="D1104" s="34">
        <f>IF(OR('Attributes Inputs and Outputs'!$H$17='Defaults and Ranges'!$K$33, 'Attributes Inputs and Outputs'!$T$8='Defaults and Ranges'!$X$25), 1,0.58 )</f>
        <v>0.57999999999999996</v>
      </c>
      <c r="E1104" s="16">
        <f>$D$981</f>
        <v>1399.5</v>
      </c>
      <c r="F1104" s="13">
        <f t="shared" si="34"/>
        <v>811.70999999999992</v>
      </c>
      <c r="G1104" s="13">
        <f>SUM(F1102:F1104)</f>
        <v>811.70999999999992</v>
      </c>
    </row>
    <row r="1105" spans="1:10" x14ac:dyDescent="0.3">
      <c r="A1105" t="s">
        <v>32</v>
      </c>
      <c r="B1105" t="s">
        <v>321</v>
      </c>
      <c r="C1105" s="13"/>
      <c r="D1105" s="34">
        <v>1</v>
      </c>
      <c r="E1105" s="16">
        <f>$E$1094</f>
        <v>2992.7913392015826</v>
      </c>
      <c r="F1105" s="13">
        <f t="shared" si="34"/>
        <v>2992.7913392015826</v>
      </c>
      <c r="G1105" s="13"/>
    </row>
    <row r="1106" spans="1:10" x14ac:dyDescent="0.3">
      <c r="A1106" t="s">
        <v>925</v>
      </c>
      <c r="B1106" t="s">
        <v>930</v>
      </c>
      <c r="C1106" s="13"/>
      <c r="D1106" s="34">
        <v>0.45</v>
      </c>
      <c r="E1106" s="16">
        <f>$F$1094</f>
        <v>1346.756102640712</v>
      </c>
      <c r="F1106" s="13">
        <f t="shared" si="34"/>
        <v>606.04024618832045</v>
      </c>
      <c r="G1106" s="13"/>
    </row>
    <row r="1107" spans="1:10" x14ac:dyDescent="0.3">
      <c r="A1107" t="s">
        <v>928</v>
      </c>
      <c r="B1107" t="s">
        <v>1181</v>
      </c>
      <c r="C1107" s="14"/>
      <c r="D1107" s="34">
        <f>IF(OR('Attributes Inputs and Outputs'!$H$17='Defaults and Ranges'!$K$33, 'Attributes Inputs and Outputs'!$T$8='Defaults and Ranges'!$X$25), 1,0.58 )</f>
        <v>0.57999999999999996</v>
      </c>
      <c r="E1107" s="16">
        <f>$D$981</f>
        <v>1399.5</v>
      </c>
      <c r="F1107" s="13">
        <f t="shared" si="34"/>
        <v>811.70999999999992</v>
      </c>
      <c r="G1107" s="13">
        <f>SUM(F1105:F1107)</f>
        <v>4410.541585389903</v>
      </c>
    </row>
    <row r="1108" spans="1:10" x14ac:dyDescent="0.3">
      <c r="A1108" t="s">
        <v>89</v>
      </c>
      <c r="B1108" t="s">
        <v>1394</v>
      </c>
      <c r="C1108" s="14"/>
      <c r="D1108" s="34"/>
      <c r="E1108" s="16"/>
      <c r="F1108" s="13"/>
      <c r="G1108" s="13"/>
    </row>
    <row r="1109" spans="1:10" x14ac:dyDescent="0.3">
      <c r="A1109" t="s">
        <v>309</v>
      </c>
      <c r="B1109" t="s">
        <v>1225</v>
      </c>
      <c r="C1109" s="14"/>
      <c r="D1109" s="34"/>
      <c r="E1109" s="16"/>
      <c r="F1109" s="13"/>
      <c r="G1109" s="13"/>
    </row>
    <row r="1110" spans="1:10" x14ac:dyDescent="0.3">
      <c r="B1110" s="13"/>
      <c r="D1110" s="39" t="s">
        <v>127</v>
      </c>
      <c r="E1110" s="40"/>
      <c r="F1110" s="40"/>
      <c r="G1110" s="40">
        <f>IF('Attributes Inputs and Outputs'!$F$8='Defaults and Ranges'!$H$24, G1098, IF('Attributes Inputs and Outputs'!$F$8='Defaults and Ranges'!$H$25, G1101, IF('Attributes Inputs and Outputs'!$F$8='Defaults and Ranges'!$H$26, G1104, G1107))   )</f>
        <v>4410.541585389903</v>
      </c>
    </row>
    <row r="1111" spans="1:10" x14ac:dyDescent="0.3">
      <c r="A1111" s="7" t="s">
        <v>62</v>
      </c>
      <c r="B1111" t="s">
        <v>935</v>
      </c>
      <c r="C1111" s="13"/>
      <c r="D1111" s="13"/>
      <c r="E1111" s="13"/>
      <c r="F1111" s="13"/>
      <c r="I1111" t="s">
        <v>940</v>
      </c>
      <c r="J1111" t="s">
        <v>941</v>
      </c>
    </row>
    <row r="1112" spans="1:10" x14ac:dyDescent="0.3">
      <c r="A1112" t="s">
        <v>922</v>
      </c>
      <c r="B1112" t="s">
        <v>1392</v>
      </c>
      <c r="C1112" s="14"/>
      <c r="D1112" s="34">
        <f>D1096+0.5+0.2+1</f>
        <v>2.7</v>
      </c>
      <c r="E1112" s="16">
        <f>$E$1094</f>
        <v>2992.7913392015826</v>
      </c>
      <c r="F1112" s="13">
        <f>D1112*E1112</f>
        <v>8080.536615844273</v>
      </c>
    </row>
    <row r="1113" spans="1:10" x14ac:dyDescent="0.3">
      <c r="A1113" t="s">
        <v>923</v>
      </c>
      <c r="B1113" t="s">
        <v>932</v>
      </c>
      <c r="C1113" s="13"/>
      <c r="D1113" s="34">
        <f>D1097+0.2</f>
        <v>0.65</v>
      </c>
      <c r="E1113" s="16">
        <f>$F$1094</f>
        <v>1346.756102640712</v>
      </c>
      <c r="F1113" s="13">
        <f t="shared" ref="F1113:F1123" si="35">D1113*E1113</f>
        <v>875.39146671646279</v>
      </c>
    </row>
    <row r="1114" spans="1:10" x14ac:dyDescent="0.3">
      <c r="A1114" t="s">
        <v>926</v>
      </c>
      <c r="B1114" t="s">
        <v>1183</v>
      </c>
      <c r="C1114" s="13"/>
      <c r="D1114" s="34">
        <f>D1098+0.2+IF(OR('Attributes Inputs and Outputs'!$H$17='Defaults and Ranges'!$K$33, 'Attributes Inputs and Outputs'!$T$8='Defaults and Ranges'!$X$25), 0.3,0.1 )</f>
        <v>0.88</v>
      </c>
      <c r="E1114" s="16">
        <f>$D$981</f>
        <v>1399.5</v>
      </c>
      <c r="F1114" s="13">
        <f t="shared" si="35"/>
        <v>1231.56</v>
      </c>
      <c r="G1114" s="13">
        <f>SUM(F1112:F1114)</f>
        <v>10187.488082560736</v>
      </c>
      <c r="H1114" s="13">
        <f>G1114-G$1098+E1124+E1125</f>
        <v>6301.946497170833</v>
      </c>
    </row>
    <row r="1115" spans="1:10" x14ac:dyDescent="0.3">
      <c r="A1115" t="s">
        <v>340</v>
      </c>
      <c r="B1115" s="20" t="s">
        <v>933</v>
      </c>
      <c r="C1115" s="13"/>
      <c r="D1115" s="34">
        <f>D1099+0.5</f>
        <v>1.05</v>
      </c>
      <c r="E1115" s="16">
        <f>$E$1094</f>
        <v>2992.7913392015826</v>
      </c>
      <c r="F1115" s="13">
        <f t="shared" si="35"/>
        <v>3142.4309061616618</v>
      </c>
      <c r="G1115" s="13"/>
      <c r="I1115" s="2">
        <f>H1114/(120)</f>
        <v>52.516220809756945</v>
      </c>
      <c r="J1115" s="2">
        <f>H1114/(7*12)</f>
        <v>75.023172585367064</v>
      </c>
    </row>
    <row r="1116" spans="1:10" x14ac:dyDescent="0.3">
      <c r="A1116" t="s">
        <v>924</v>
      </c>
      <c r="B1116" t="s">
        <v>932</v>
      </c>
      <c r="C1116" s="13"/>
      <c r="D1116" s="34">
        <f>D1100+0.2</f>
        <v>0.65</v>
      </c>
      <c r="E1116" s="16">
        <f>$F$1094</f>
        <v>1346.756102640712</v>
      </c>
      <c r="F1116" s="13">
        <f t="shared" si="35"/>
        <v>875.39146671646279</v>
      </c>
      <c r="G1116" s="13"/>
      <c r="J1116" s="2"/>
    </row>
    <row r="1117" spans="1:10" x14ac:dyDescent="0.3">
      <c r="A1117" t="s">
        <v>927</v>
      </c>
      <c r="B1117" t="s">
        <v>1184</v>
      </c>
      <c r="C1117" s="13"/>
      <c r="D1117" s="34">
        <f>D1101+0.2+IF(OR('Attributes Inputs and Outputs'!$H$17='Defaults and Ranges'!$K$33, 'Attributes Inputs and Outputs'!$T$8='Defaults and Ranges'!$X$25), 0.4,0.1 )</f>
        <v>0.88</v>
      </c>
      <c r="E1117" s="16">
        <f>$D$981</f>
        <v>1399.5</v>
      </c>
      <c r="F1117" s="13">
        <f t="shared" si="35"/>
        <v>1231.56</v>
      </c>
      <c r="G1117" s="13">
        <f>SUM(F1115:F1117)</f>
        <v>5249.3823728781244</v>
      </c>
      <c r="H1117" s="13">
        <f>G1117-G$1101+E1124+E1125</f>
        <v>2710.5968901289334</v>
      </c>
      <c r="J1117" s="2"/>
    </row>
    <row r="1118" spans="1:10" x14ac:dyDescent="0.3">
      <c r="A1118" t="s">
        <v>1165</v>
      </c>
      <c r="B1118" t="s">
        <v>1169</v>
      </c>
      <c r="C1118" s="13"/>
      <c r="D1118" s="34">
        <f>D1102+0.2</f>
        <v>0.2</v>
      </c>
      <c r="E1118" s="16">
        <f>$E$1094</f>
        <v>2992.7913392015826</v>
      </c>
      <c r="F1118" s="13">
        <f t="shared" si="35"/>
        <v>598.55826784031649</v>
      </c>
      <c r="G1118" s="13"/>
      <c r="I1118" s="2">
        <f>H1117/(120)</f>
        <v>22.588307417741113</v>
      </c>
      <c r="J1118" s="2">
        <f>H1117/(7*12)</f>
        <v>32.269010596773015</v>
      </c>
    </row>
    <row r="1119" spans="1:10" x14ac:dyDescent="0.3">
      <c r="A1119" t="s">
        <v>1166</v>
      </c>
      <c r="B1119" t="s">
        <v>1169</v>
      </c>
      <c r="C1119" s="13"/>
      <c r="D1119" s="34">
        <f>D1103+0.2</f>
        <v>0.2</v>
      </c>
      <c r="E1119" s="16">
        <f>$F$1094</f>
        <v>1346.756102640712</v>
      </c>
      <c r="F1119" s="13">
        <f t="shared" si="35"/>
        <v>269.35122052814239</v>
      </c>
      <c r="G1119" s="13"/>
      <c r="J1119" s="2"/>
    </row>
    <row r="1120" spans="1:10" x14ac:dyDescent="0.3">
      <c r="A1120" t="s">
        <v>1167</v>
      </c>
      <c r="B1120" t="s">
        <v>1183</v>
      </c>
      <c r="C1120" s="13"/>
      <c r="D1120" s="34">
        <f>D1104+0.2+IF(OR('Attributes Inputs and Outputs'!$H$17='Defaults and Ranges'!$K$33, 'Attributes Inputs and Outputs'!$T$8='Defaults and Ranges'!$X$25), 0.3,0.1 )</f>
        <v>0.88</v>
      </c>
      <c r="E1120" s="16">
        <f>$D$981</f>
        <v>1399.5</v>
      </c>
      <c r="F1120" s="13">
        <f t="shared" si="35"/>
        <v>1231.56</v>
      </c>
      <c r="G1120" s="13">
        <f>SUM(F1118:F1120)</f>
        <v>2099.4694883684588</v>
      </c>
      <c r="H1120" s="13">
        <f>G1120-G$1104+E1124+E1125</f>
        <v>1812.7594883684587</v>
      </c>
      <c r="J1120" s="2"/>
    </row>
    <row r="1121" spans="1:10" x14ac:dyDescent="0.3">
      <c r="A1121" t="s">
        <v>32</v>
      </c>
      <c r="B1121" t="s">
        <v>931</v>
      </c>
      <c r="C1121" s="13"/>
      <c r="D1121" s="34">
        <f>D1105+0.5+0.2</f>
        <v>1.7</v>
      </c>
      <c r="E1121" s="16">
        <f>$E$1094</f>
        <v>2992.7913392015826</v>
      </c>
      <c r="F1121" s="13">
        <f t="shared" si="35"/>
        <v>5087.7452766426904</v>
      </c>
      <c r="G1121" s="13"/>
      <c r="I1121" s="2">
        <f>H1120/(120)</f>
        <v>15.106329069737155</v>
      </c>
      <c r="J1121" s="2">
        <f>H1120/(7*12)</f>
        <v>21.58047009962451</v>
      </c>
    </row>
    <row r="1122" spans="1:10" x14ac:dyDescent="0.3">
      <c r="A1122" t="s">
        <v>925</v>
      </c>
      <c r="B1122" t="s">
        <v>932</v>
      </c>
      <c r="C1122" s="13"/>
      <c r="D1122" s="34">
        <f>D1106+0.2</f>
        <v>0.65</v>
      </c>
      <c r="E1122" s="16">
        <f>$F$1094</f>
        <v>1346.756102640712</v>
      </c>
      <c r="F1122" s="13">
        <f t="shared" si="35"/>
        <v>875.39146671646279</v>
      </c>
      <c r="G1122" s="13"/>
      <c r="J1122" s="2"/>
    </row>
    <row r="1123" spans="1:10" x14ac:dyDescent="0.3">
      <c r="A1123" t="s">
        <v>928</v>
      </c>
      <c r="B1123" t="s">
        <v>1183</v>
      </c>
      <c r="C1123" s="13"/>
      <c r="D1123" s="34">
        <f>D1107+0.2+IF(OR('Attributes Inputs and Outputs'!$H$17='Defaults and Ranges'!$K$33, 'Attributes Inputs and Outputs'!$T$8='Defaults and Ranges'!$X$25), 0.3,0.1 )</f>
        <v>0.88</v>
      </c>
      <c r="E1123" s="16">
        <f>$D$981</f>
        <v>1399.5</v>
      </c>
      <c r="F1123" s="13">
        <f t="shared" si="35"/>
        <v>1231.56</v>
      </c>
      <c r="G1123" s="13">
        <f>SUM(F1121:F1123)</f>
        <v>7194.6967433591526</v>
      </c>
      <c r="H1123" s="13">
        <f>G1123-G$1107+E1124+E1125</f>
        <v>3309.1551579692496</v>
      </c>
      <c r="I1123" s="2">
        <f>H1123/(120)</f>
        <v>27.576292983077078</v>
      </c>
      <c r="J1123" s="2">
        <f>H1123/(7*12)</f>
        <v>39.394704261538685</v>
      </c>
    </row>
    <row r="1124" spans="1:10" x14ac:dyDescent="0.3">
      <c r="A1124" t="s">
        <v>89</v>
      </c>
      <c r="B1124" t="s">
        <v>1394</v>
      </c>
      <c r="C1124" s="13"/>
      <c r="D1124" s="93">
        <v>0</v>
      </c>
      <c r="E1124" s="16">
        <f>D1124*$I$1094</f>
        <v>0</v>
      </c>
      <c r="F1124" s="13"/>
      <c r="G1124" s="13"/>
      <c r="H1124" s="13"/>
      <c r="J1124" s="2"/>
    </row>
    <row r="1125" spans="1:10" x14ac:dyDescent="0.3">
      <c r="A1125" t="s">
        <v>309</v>
      </c>
      <c r="B1125" t="s">
        <v>1226</v>
      </c>
      <c r="C1125" s="13"/>
      <c r="D1125" s="93">
        <v>0.1</v>
      </c>
      <c r="E1125" s="16">
        <f>D1125*$J$1094</f>
        <v>525</v>
      </c>
      <c r="F1125" s="13"/>
      <c r="G1125" s="13"/>
      <c r="H1125" s="13"/>
      <c r="J1125" s="2"/>
    </row>
    <row r="1126" spans="1:10" x14ac:dyDescent="0.3">
      <c r="C1126" s="13"/>
      <c r="D1126" s="39" t="s">
        <v>130</v>
      </c>
      <c r="E1126" s="40"/>
      <c r="F1126" s="40"/>
      <c r="G1126" s="94">
        <f>IF('Attributes Inputs and Outputs'!$F$8='Defaults and Ranges'!$H$24, G1114, IF('Attributes Inputs and Outputs'!$F$8='Defaults and Ranges'!$H$25, G1117, IF('Attributes Inputs and Outputs'!$F$8='Defaults and Ranges'!$H$26, G1120, G1123))   )+E1124+E1125</f>
        <v>10712.488082560736</v>
      </c>
    </row>
    <row r="1127" spans="1:10" x14ac:dyDescent="0.3">
      <c r="A1127" s="7" t="s">
        <v>63</v>
      </c>
      <c r="B1127" t="s">
        <v>936</v>
      </c>
      <c r="C1127" s="14"/>
      <c r="F1127" s="13"/>
    </row>
    <row r="1128" spans="1:10" x14ac:dyDescent="0.3">
      <c r="A1128" t="s">
        <v>922</v>
      </c>
      <c r="B1128" t="s">
        <v>944</v>
      </c>
      <c r="C1128" s="13"/>
      <c r="D1128" s="34">
        <f>D1112+1.5+0.35</f>
        <v>4.55</v>
      </c>
      <c r="E1128" s="16">
        <f>$E$1094</f>
        <v>2992.7913392015826</v>
      </c>
      <c r="F1128" s="13">
        <f>D1128*E1128</f>
        <v>13617.200593367201</v>
      </c>
    </row>
    <row r="1129" spans="1:10" x14ac:dyDescent="0.3">
      <c r="A1129" t="s">
        <v>923</v>
      </c>
      <c r="B1129" t="s">
        <v>937</v>
      </c>
      <c r="C1129" s="13"/>
      <c r="D1129" s="34">
        <f>D1113+0.5</f>
        <v>1.1499999999999999</v>
      </c>
      <c r="E1129" s="16">
        <f>$F$1094</f>
        <v>1346.756102640712</v>
      </c>
      <c r="F1129" s="13">
        <f t="shared" ref="F1129:F1139" si="36">D1129*E1129</f>
        <v>1548.7695180368187</v>
      </c>
    </row>
    <row r="1130" spans="1:10" x14ac:dyDescent="0.3">
      <c r="A1130" t="s">
        <v>926</v>
      </c>
      <c r="B1130" t="s">
        <v>1185</v>
      </c>
      <c r="C1130" s="13"/>
      <c r="D1130" s="34">
        <f>D1114+IF(OR('Attributes Inputs and Outputs'!$H$17='Defaults and Ranges'!$K$33, 'Attributes Inputs and Outputs'!$T$8='Defaults and Ranges'!$X$25), 0.4,0.15 )</f>
        <v>1.03</v>
      </c>
      <c r="E1130" s="16">
        <f>$D$981</f>
        <v>1399.5</v>
      </c>
      <c r="F1130" s="13">
        <f t="shared" si="36"/>
        <v>1441.4850000000001</v>
      </c>
      <c r="G1130" s="13">
        <f>SUM(F1128:F1130)</f>
        <v>16607.455111404019</v>
      </c>
      <c r="H1130" s="13">
        <f>G1130-G$1098+E1140+E1141</f>
        <v>15397.538526014116</v>
      </c>
      <c r="I1130" t="s">
        <v>942</v>
      </c>
      <c r="J1130" t="s">
        <v>943</v>
      </c>
    </row>
    <row r="1131" spans="1:10" x14ac:dyDescent="0.3">
      <c r="A1131" t="s">
        <v>340</v>
      </c>
      <c r="B1131" s="20" t="s">
        <v>945</v>
      </c>
      <c r="C1131" s="13"/>
      <c r="D1131" s="34">
        <f>D1115+0.45+0.35+0.1</f>
        <v>1.9500000000000002</v>
      </c>
      <c r="E1131" s="16">
        <f>$E$1094</f>
        <v>2992.7913392015826</v>
      </c>
      <c r="F1131" s="13">
        <f t="shared" si="36"/>
        <v>5835.9431114430863</v>
      </c>
      <c r="G1131" s="13"/>
      <c r="I1131" s="2">
        <f>H1130/(17*12)</f>
        <v>75.478130029480965</v>
      </c>
      <c r="J1131" s="2">
        <f>H1130/(14*12)</f>
        <v>91.652015035798314</v>
      </c>
    </row>
    <row r="1132" spans="1:10" x14ac:dyDescent="0.3">
      <c r="A1132" t="s">
        <v>924</v>
      </c>
      <c r="B1132" t="s">
        <v>937</v>
      </c>
      <c r="C1132" s="13"/>
      <c r="D1132" s="34">
        <f>D1116+0.5</f>
        <v>1.1499999999999999</v>
      </c>
      <c r="E1132" s="16">
        <f>$F$1094</f>
        <v>1346.756102640712</v>
      </c>
      <c r="F1132" s="13">
        <f t="shared" si="36"/>
        <v>1548.7695180368187</v>
      </c>
      <c r="G1132" s="13"/>
      <c r="J1132" s="2"/>
    </row>
    <row r="1133" spans="1:10" x14ac:dyDescent="0.3">
      <c r="A1133" t="s">
        <v>927</v>
      </c>
      <c r="B1133" t="s">
        <v>1188</v>
      </c>
      <c r="C1133" s="13"/>
      <c r="D1133" s="34">
        <f>D1117+IF(OR('Attributes Inputs and Outputs'!$H$17='Defaults and Ranges'!$K$33, 'Attributes Inputs and Outputs'!$T$8='Defaults and Ranges'!$X$25), 0.4,0.15 )</f>
        <v>1.03</v>
      </c>
      <c r="E1133" s="16">
        <f>$D$981</f>
        <v>1399.5</v>
      </c>
      <c r="F1133" s="13">
        <f t="shared" si="36"/>
        <v>1441.4850000000001</v>
      </c>
      <c r="G1133" s="13">
        <f>SUM(F1131:F1133)</f>
        <v>8826.197629479906</v>
      </c>
      <c r="H1133" s="13">
        <f>G1133-G$1101+E1140+E1141</f>
        <v>8963.0371467307159</v>
      </c>
      <c r="J1133" s="2"/>
    </row>
    <row r="1134" spans="1:10" x14ac:dyDescent="0.3">
      <c r="A1134" t="s">
        <v>1165</v>
      </c>
      <c r="B1134" t="s">
        <v>1170</v>
      </c>
      <c r="C1134" s="13"/>
      <c r="D1134" s="34">
        <f>D1118+0.7</f>
        <v>0.89999999999999991</v>
      </c>
      <c r="E1134" s="16">
        <f>$E$1094</f>
        <v>2992.7913392015826</v>
      </c>
      <c r="F1134" s="13">
        <f t="shared" si="36"/>
        <v>2693.512205281424</v>
      </c>
      <c r="G1134" s="13"/>
      <c r="I1134" s="2">
        <f>H1133/(17*12)</f>
        <v>43.93645660162116</v>
      </c>
      <c r="J1134" s="2">
        <f>H1133/(14*12)</f>
        <v>53.351411587682833</v>
      </c>
    </row>
    <row r="1135" spans="1:10" x14ac:dyDescent="0.3">
      <c r="A1135" t="s">
        <v>1166</v>
      </c>
      <c r="B1135" t="s">
        <v>1170</v>
      </c>
      <c r="C1135" s="13"/>
      <c r="D1135" s="34">
        <f>D1119+0.7</f>
        <v>0.89999999999999991</v>
      </c>
      <c r="E1135" s="16">
        <f>$F$1094</f>
        <v>1346.756102640712</v>
      </c>
      <c r="F1135" s="13">
        <f t="shared" si="36"/>
        <v>1212.0804923766407</v>
      </c>
      <c r="G1135" s="13"/>
      <c r="J1135" s="2"/>
    </row>
    <row r="1136" spans="1:10" x14ac:dyDescent="0.3">
      <c r="A1136" t="s">
        <v>1167</v>
      </c>
      <c r="B1136" t="s">
        <v>1185</v>
      </c>
      <c r="C1136" s="13"/>
      <c r="D1136" s="34">
        <f>D1120+IF(OR('Attributes Inputs and Outputs'!$H$17='Defaults and Ranges'!$K$33, 'Attributes Inputs and Outputs'!$T$8='Defaults and Ranges'!$X$25), 0.4,0.15 )</f>
        <v>1.03</v>
      </c>
      <c r="E1136" s="16">
        <f>$D$981</f>
        <v>1399.5</v>
      </c>
      <c r="F1136" s="13">
        <f t="shared" si="36"/>
        <v>1441.4850000000001</v>
      </c>
      <c r="G1136" s="13">
        <f>SUM(F1134:F1136)</f>
        <v>5347.0776976580655</v>
      </c>
      <c r="H1136" s="13">
        <f>G1136-G$1104+E1140+E1141</f>
        <v>7735.9926976580655</v>
      </c>
      <c r="J1136" s="2"/>
    </row>
    <row r="1137" spans="1:10" x14ac:dyDescent="0.3">
      <c r="A1137" t="s">
        <v>32</v>
      </c>
      <c r="B1137" t="s">
        <v>944</v>
      </c>
      <c r="C1137" s="13"/>
      <c r="D1137" s="34">
        <f>D1121+1.5+0.35</f>
        <v>3.5500000000000003</v>
      </c>
      <c r="E1137" s="16">
        <f>$E$1094</f>
        <v>2992.7913392015826</v>
      </c>
      <c r="F1137" s="13">
        <f t="shared" si="36"/>
        <v>10624.409254165619</v>
      </c>
      <c r="G1137" s="13"/>
      <c r="I1137" s="2">
        <f>H1136/(17*12)</f>
        <v>37.921532831657181</v>
      </c>
      <c r="J1137" s="2">
        <f>H1136/(14*12)</f>
        <v>46.047575581298005</v>
      </c>
    </row>
    <row r="1138" spans="1:10" x14ac:dyDescent="0.3">
      <c r="A1138" t="s">
        <v>925</v>
      </c>
      <c r="B1138" t="s">
        <v>937</v>
      </c>
      <c r="C1138" s="13"/>
      <c r="D1138" s="34">
        <f>D1122+0.5</f>
        <v>1.1499999999999999</v>
      </c>
      <c r="E1138" s="16">
        <f>$F$1094</f>
        <v>1346.756102640712</v>
      </c>
      <c r="F1138" s="13">
        <f t="shared" si="36"/>
        <v>1548.7695180368187</v>
      </c>
      <c r="G1138" s="13"/>
      <c r="J1138" s="2"/>
    </row>
    <row r="1139" spans="1:10" x14ac:dyDescent="0.3">
      <c r="A1139" t="s">
        <v>928</v>
      </c>
      <c r="B1139" t="s">
        <v>1185</v>
      </c>
      <c r="C1139" s="13"/>
      <c r="D1139" s="34">
        <f>D1123+IF(OR('Attributes Inputs and Outputs'!$H$17='Defaults and Ranges'!$K$33, 'Attributes Inputs and Outputs'!$T$8='Defaults and Ranges'!$X$25), 0.4,0.15 )</f>
        <v>1.03</v>
      </c>
      <c r="E1139" s="16">
        <f>$D$981</f>
        <v>1399.5</v>
      </c>
      <c r="F1139" s="13">
        <f t="shared" si="36"/>
        <v>1441.4850000000001</v>
      </c>
      <c r="G1139" s="13">
        <f>SUM(F1137:F1139)</f>
        <v>13614.663772202439</v>
      </c>
      <c r="H1139" s="13">
        <f>G1139-G$1107+E1140+E1141</f>
        <v>12404.747186812536</v>
      </c>
      <c r="I1139" s="2">
        <f>H1139/(17*12)</f>
        <v>60.80758424908106</v>
      </c>
      <c r="J1139" s="2">
        <f>H1139/(14*12)</f>
        <v>73.837780873884142</v>
      </c>
    </row>
    <row r="1140" spans="1:10" x14ac:dyDescent="0.3">
      <c r="A1140" t="s">
        <v>89</v>
      </c>
      <c r="B1140" t="s">
        <v>1393</v>
      </c>
      <c r="C1140" s="13"/>
      <c r="D1140" s="93">
        <v>0.15</v>
      </c>
      <c r="E1140" s="16">
        <f>D1140*$I$1094</f>
        <v>2413.125</v>
      </c>
      <c r="F1140" s="13"/>
      <c r="G1140" s="13"/>
      <c r="H1140" s="13"/>
      <c r="J1140" s="2"/>
    </row>
    <row r="1141" spans="1:10" x14ac:dyDescent="0.3">
      <c r="A1141" t="s">
        <v>309</v>
      </c>
      <c r="B1141" t="s">
        <v>1393</v>
      </c>
      <c r="C1141" s="13"/>
      <c r="D1141" s="93">
        <v>0.15</v>
      </c>
      <c r="E1141" s="16">
        <f>D1141*$J$1094</f>
        <v>787.5</v>
      </c>
      <c r="F1141" s="13"/>
      <c r="G1141" s="13"/>
      <c r="H1141" s="13"/>
      <c r="J1141" s="2"/>
    </row>
    <row r="1142" spans="1:10" x14ac:dyDescent="0.3">
      <c r="C1142" s="13"/>
      <c r="D1142" s="39" t="s">
        <v>133</v>
      </c>
      <c r="E1142" s="40">
        <f>SUM(E1128:E1133)</f>
        <v>11478.094883684589</v>
      </c>
      <c r="F1142" s="40">
        <f>SUM(F1128:F1133)</f>
        <v>25433.652740883925</v>
      </c>
      <c r="G1142" s="94">
        <f>IF('Attributes Inputs and Outputs'!$F$8='Defaults and Ranges'!$H$24, G1130, IF('Attributes Inputs and Outputs'!$F$8='Defaults and Ranges'!$H$25, G1133, IF('Attributes Inputs and Outputs'!$F$8='Defaults and Ranges'!$H$26, G1136, G1139))   )+E1140+E1141</f>
        <v>19808.080111404019</v>
      </c>
    </row>
    <row r="1143" spans="1:10" x14ac:dyDescent="0.3">
      <c r="A1143" s="7" t="s">
        <v>64</v>
      </c>
      <c r="B1143" s="13" t="s">
        <v>949</v>
      </c>
      <c r="C1143" s="13"/>
      <c r="F1143" s="13"/>
    </row>
    <row r="1144" spans="1:10" x14ac:dyDescent="0.3">
      <c r="A1144" t="s">
        <v>922</v>
      </c>
      <c r="B1144" t="s">
        <v>946</v>
      </c>
      <c r="C1144" s="13"/>
      <c r="D1144" s="34">
        <f>3+1+0.35</f>
        <v>4.3499999999999996</v>
      </c>
      <c r="E1144" s="16">
        <f>$E$1094</f>
        <v>2992.7913392015826</v>
      </c>
      <c r="F1144" s="13">
        <f>D1144*E1144</f>
        <v>13018.642325526884</v>
      </c>
    </row>
    <row r="1145" spans="1:10" x14ac:dyDescent="0.3">
      <c r="A1145" t="s">
        <v>923</v>
      </c>
      <c r="B1145" t="s">
        <v>948</v>
      </c>
      <c r="C1145" s="13"/>
      <c r="D1145" s="34">
        <f>3</f>
        <v>3</v>
      </c>
      <c r="E1145" s="16">
        <f>$F$1094</f>
        <v>1346.756102640712</v>
      </c>
      <c r="F1145" s="13">
        <f t="shared" ref="F1145:F1155" si="37">D1145*E1145</f>
        <v>4040.268307922136</v>
      </c>
    </row>
    <row r="1146" spans="1:10" x14ac:dyDescent="0.3">
      <c r="A1146" t="s">
        <v>926</v>
      </c>
      <c r="B1146" t="s">
        <v>1186</v>
      </c>
      <c r="C1146" s="13"/>
      <c r="D1146" s="34">
        <f>D1130+IF(OR('Attributes Inputs and Outputs'!$H$17='Defaults and Ranges'!$K$33, 'Attributes Inputs and Outputs'!$T$8='Defaults and Ranges'!$X$25), 0.4,0.15 )</f>
        <v>1.18</v>
      </c>
      <c r="E1146" s="16">
        <f>$D$981</f>
        <v>1399.5</v>
      </c>
      <c r="F1146" s="13">
        <f t="shared" si="37"/>
        <v>1651.4099999999999</v>
      </c>
      <c r="G1146" s="13">
        <f>SUM(F1144:F1146)</f>
        <v>18710.320633449021</v>
      </c>
      <c r="H1146" s="13">
        <f>G1146-G$1098+E1156+E1157</f>
        <v>20396.154048059117</v>
      </c>
      <c r="I1146" t="s">
        <v>947</v>
      </c>
      <c r="J1146" t="s">
        <v>950</v>
      </c>
    </row>
    <row r="1147" spans="1:10" x14ac:dyDescent="0.3">
      <c r="A1147" t="s">
        <v>340</v>
      </c>
      <c r="B1147" s="20" t="s">
        <v>951</v>
      </c>
      <c r="C1147" s="13"/>
      <c r="D1147" s="34">
        <f>D1131+0.75+0.1</f>
        <v>2.8000000000000003</v>
      </c>
      <c r="E1147" s="16">
        <f>$E$1094</f>
        <v>2992.7913392015826</v>
      </c>
      <c r="F1147" s="13">
        <f t="shared" si="37"/>
        <v>8379.8157497644315</v>
      </c>
      <c r="G1147" s="13"/>
      <c r="I1147" s="2">
        <f>H1146/(25*12)</f>
        <v>67.987180160197056</v>
      </c>
      <c r="J1147" s="2">
        <f>H1146/(20*12)</f>
        <v>84.98397520024632</v>
      </c>
    </row>
    <row r="1148" spans="1:10" x14ac:dyDescent="0.3">
      <c r="A1148" t="s">
        <v>924</v>
      </c>
      <c r="B1148" t="s">
        <v>948</v>
      </c>
      <c r="C1148" s="13"/>
      <c r="D1148" s="34">
        <f>3</f>
        <v>3</v>
      </c>
      <c r="E1148" s="16">
        <f>$F$1094</f>
        <v>1346.756102640712</v>
      </c>
      <c r="F1148" s="13">
        <f t="shared" si="37"/>
        <v>4040.268307922136</v>
      </c>
      <c r="G1148" s="13"/>
      <c r="J1148" s="2"/>
    </row>
    <row r="1149" spans="1:10" x14ac:dyDescent="0.3">
      <c r="A1149" t="s">
        <v>927</v>
      </c>
      <c r="B1149" t="s">
        <v>1187</v>
      </c>
      <c r="C1149" s="13"/>
      <c r="D1149" s="34">
        <f>D1133+IF(OR('Attributes Inputs and Outputs'!$H$17='Defaults and Ranges'!$K$33, 'Attributes Inputs and Outputs'!$T$8='Defaults and Ranges'!$X$25), 0.4,0.15 )</f>
        <v>1.18</v>
      </c>
      <c r="E1149" s="16">
        <f>$D$981</f>
        <v>1399.5</v>
      </c>
      <c r="F1149" s="13">
        <f t="shared" si="37"/>
        <v>1651.4099999999999</v>
      </c>
      <c r="G1149" s="13">
        <f>SUM(F1147:F1149)</f>
        <v>14071.494057686567</v>
      </c>
      <c r="H1149" s="13">
        <f>G1149-G$1101+E1156+E1157</f>
        <v>17104.083574937376</v>
      </c>
      <c r="J1149" s="2"/>
    </row>
    <row r="1150" spans="1:10" x14ac:dyDescent="0.3">
      <c r="A1150" t="s">
        <v>1165</v>
      </c>
      <c r="B1150" t="s">
        <v>1171</v>
      </c>
      <c r="C1150" s="13"/>
      <c r="D1150" s="34">
        <f>D1134+1</f>
        <v>1.9</v>
      </c>
      <c r="E1150" s="16">
        <f>$E$1094</f>
        <v>2992.7913392015826</v>
      </c>
      <c r="F1150" s="13">
        <f t="shared" si="37"/>
        <v>5686.3035444830066</v>
      </c>
      <c r="G1150" s="13"/>
      <c r="I1150" s="2">
        <f>H1149/(25*12)</f>
        <v>57.013611916457918</v>
      </c>
      <c r="J1150" s="2">
        <f>H1149/(20*12)</f>
        <v>71.267014895572402</v>
      </c>
    </row>
    <row r="1151" spans="1:10" x14ac:dyDescent="0.3">
      <c r="A1151" t="s">
        <v>1166</v>
      </c>
      <c r="B1151" t="s">
        <v>1171</v>
      </c>
      <c r="C1151" s="13"/>
      <c r="D1151" s="34">
        <f>D1135+1</f>
        <v>1.9</v>
      </c>
      <c r="E1151" s="16">
        <f>$F$1094</f>
        <v>1346.756102640712</v>
      </c>
      <c r="F1151" s="13">
        <f t="shared" si="37"/>
        <v>2558.8365950173529</v>
      </c>
      <c r="G1151" s="13"/>
      <c r="J1151" s="2"/>
    </row>
    <row r="1152" spans="1:10" x14ac:dyDescent="0.3">
      <c r="A1152" t="s">
        <v>1167</v>
      </c>
      <c r="B1152" t="s">
        <v>1186</v>
      </c>
      <c r="C1152" s="13"/>
      <c r="D1152" s="34">
        <f>D1136+IF(OR('Attributes Inputs and Outputs'!$H$17='Defaults and Ranges'!$K$33, 'Attributes Inputs and Outputs'!$T$8='Defaults and Ranges'!$X$25), 0.4,0.15 )</f>
        <v>1.18</v>
      </c>
      <c r="E1152" s="16">
        <f>$D$981</f>
        <v>1399.5</v>
      </c>
      <c r="F1152" s="13">
        <f t="shared" si="37"/>
        <v>1651.4099999999999</v>
      </c>
      <c r="G1152" s="13">
        <f>SUM(F1150:F1152)</f>
        <v>9896.5501395003594</v>
      </c>
      <c r="H1152" s="13">
        <f>G1152-G$1104+E1156+E1157</f>
        <v>15181.21513950036</v>
      </c>
      <c r="J1152" s="2"/>
    </row>
    <row r="1153" spans="1:10" x14ac:dyDescent="0.3">
      <c r="A1153" t="s">
        <v>32</v>
      </c>
      <c r="B1153" t="s">
        <v>946</v>
      </c>
      <c r="C1153" s="13"/>
      <c r="D1153" s="34">
        <f>3+1+0.35</f>
        <v>4.3499999999999996</v>
      </c>
      <c r="E1153" s="16">
        <f>$E$1094</f>
        <v>2992.7913392015826</v>
      </c>
      <c r="F1153" s="13">
        <f t="shared" si="37"/>
        <v>13018.642325526884</v>
      </c>
      <c r="G1153" s="13"/>
      <c r="I1153" s="2">
        <f>H1152/(25*12)</f>
        <v>50.604050465001201</v>
      </c>
      <c r="J1153" s="2">
        <f>H1152/(20*12)</f>
        <v>63.2550630812515</v>
      </c>
    </row>
    <row r="1154" spans="1:10" x14ac:dyDescent="0.3">
      <c r="A1154" t="s">
        <v>925</v>
      </c>
      <c r="B1154" t="s">
        <v>948</v>
      </c>
      <c r="C1154" s="13"/>
      <c r="D1154" s="34">
        <f>3</f>
        <v>3</v>
      </c>
      <c r="E1154" s="16">
        <f>$F$1094</f>
        <v>1346.756102640712</v>
      </c>
      <c r="F1154" s="13">
        <f t="shared" si="37"/>
        <v>4040.268307922136</v>
      </c>
      <c r="G1154" s="13"/>
      <c r="J1154" s="2"/>
    </row>
    <row r="1155" spans="1:10" x14ac:dyDescent="0.3">
      <c r="A1155" t="s">
        <v>928</v>
      </c>
      <c r="B1155" t="s">
        <v>1186</v>
      </c>
      <c r="C1155" s="13"/>
      <c r="D1155" s="34">
        <f>D1139+IF(OR('Attributes Inputs and Outputs'!$H$17='Defaults and Ranges'!$K$33, 'Attributes Inputs and Outputs'!$T$8='Defaults and Ranges'!$X$25), 0.4,0.15 )</f>
        <v>1.18</v>
      </c>
      <c r="E1155" s="16">
        <f>$D$981</f>
        <v>1399.5</v>
      </c>
      <c r="F1155" s="13">
        <f t="shared" si="37"/>
        <v>1651.4099999999999</v>
      </c>
      <c r="G1155" s="13">
        <f>SUM(F1153:F1155)</f>
        <v>18710.320633449021</v>
      </c>
      <c r="H1155" s="13">
        <f>G1155-G$1107+E1156+E1157</f>
        <v>20396.154048059117</v>
      </c>
      <c r="J1155" s="2"/>
    </row>
    <row r="1156" spans="1:10" x14ac:dyDescent="0.3">
      <c r="A1156" t="s">
        <v>89</v>
      </c>
      <c r="B1156" t="s">
        <v>1221</v>
      </c>
      <c r="C1156" s="13"/>
      <c r="D1156" s="93">
        <v>0.33</v>
      </c>
      <c r="E1156" s="16">
        <f>D1156*$I$1094</f>
        <v>5308.8750000000009</v>
      </c>
      <c r="F1156" s="13"/>
      <c r="G1156" s="13"/>
      <c r="H1156" s="13"/>
      <c r="I1156" s="2">
        <f>H1155/(25*12)</f>
        <v>67.987180160197056</v>
      </c>
      <c r="J1156" s="2">
        <f>H1155/(20*12)</f>
        <v>84.98397520024632</v>
      </c>
    </row>
    <row r="1157" spans="1:10" x14ac:dyDescent="0.3">
      <c r="A1157" t="s">
        <v>309</v>
      </c>
      <c r="B1157" t="s">
        <v>1393</v>
      </c>
      <c r="C1157" s="13"/>
      <c r="D1157" s="93">
        <v>0.15</v>
      </c>
      <c r="E1157" s="16">
        <f>D1157*$J$1094</f>
        <v>787.5</v>
      </c>
      <c r="F1157" s="13"/>
      <c r="G1157" s="13"/>
      <c r="H1157" s="13"/>
      <c r="I1157" s="2"/>
      <c r="J1157" s="2"/>
    </row>
    <row r="1158" spans="1:10" x14ac:dyDescent="0.3">
      <c r="D1158" s="39" t="s">
        <v>137</v>
      </c>
      <c r="E1158" s="40">
        <f>SUM(E1144:E1149)</f>
        <v>11478.094883684589</v>
      </c>
      <c r="F1158" s="40">
        <f>SUM(F1144:F1149)</f>
        <v>32781.814691135587</v>
      </c>
      <c r="G1158" s="94">
        <f>IF('Attributes Inputs and Outputs'!$F$8='Defaults and Ranges'!$H$24, G1146, IF('Attributes Inputs and Outputs'!$F$8='Defaults and Ranges'!$H$25, G1149, IF('Attributes Inputs and Outputs'!$F$8='Defaults and Ranges'!$H$26, G1152, G1155))   )+E1156+E1157</f>
        <v>24806.695633449021</v>
      </c>
    </row>
    <row r="1161" spans="1:10" x14ac:dyDescent="0.3">
      <c r="E1161" t="s">
        <v>45</v>
      </c>
    </row>
    <row r="1162" spans="1:10" x14ac:dyDescent="0.3">
      <c r="E1162" s="11">
        <f>'Attributes Inputs and Outputs'!D15</f>
        <v>2299</v>
      </c>
    </row>
    <row r="1163" spans="1:10" x14ac:dyDescent="0.3">
      <c r="B1163" t="s">
        <v>105</v>
      </c>
      <c r="C1163" s="11"/>
      <c r="D1163" s="11"/>
      <c r="E1163" s="11"/>
      <c r="F1163" s="11"/>
    </row>
    <row r="1164" spans="1:10" x14ac:dyDescent="0.3">
      <c r="A1164" s="7" t="s">
        <v>61</v>
      </c>
      <c r="C1164" t="s">
        <v>966</v>
      </c>
      <c r="D1164" t="s">
        <v>967</v>
      </c>
      <c r="F1164" t="s">
        <v>968</v>
      </c>
      <c r="G1164" t="s">
        <v>790</v>
      </c>
      <c r="J1164">
        <f>I1164*C1163</f>
        <v>0</v>
      </c>
    </row>
    <row r="1165" spans="1:10" x14ac:dyDescent="0.3">
      <c r="A1165" t="s">
        <v>952</v>
      </c>
      <c r="B1165" t="s">
        <v>962</v>
      </c>
      <c r="C1165" s="13">
        <v>100</v>
      </c>
      <c r="D1165" s="16"/>
      <c r="F1165" s="13"/>
      <c r="G1165" s="13">
        <f t="shared" ref="G1165:G1175" si="38">C1165+F1165</f>
        <v>100</v>
      </c>
      <c r="J1165">
        <f>J1164*2.1/4</f>
        <v>0</v>
      </c>
    </row>
    <row r="1166" spans="1:10" x14ac:dyDescent="0.3">
      <c r="A1166" t="s">
        <v>953</v>
      </c>
      <c r="B1166" t="s">
        <v>187</v>
      </c>
      <c r="C1166" s="37"/>
      <c r="D1166" s="16"/>
      <c r="F1166" s="13"/>
      <c r="G1166" s="13">
        <f t="shared" si="38"/>
        <v>0</v>
      </c>
    </row>
    <row r="1167" spans="1:10" x14ac:dyDescent="0.3">
      <c r="A1167" t="s">
        <v>956</v>
      </c>
      <c r="B1167" t="s">
        <v>187</v>
      </c>
      <c r="C1167" s="37"/>
      <c r="D1167" s="16"/>
      <c r="F1167" s="13"/>
      <c r="G1167" s="13">
        <f t="shared" si="38"/>
        <v>0</v>
      </c>
    </row>
    <row r="1168" spans="1:10" x14ac:dyDescent="0.3">
      <c r="A1168" t="s">
        <v>957</v>
      </c>
      <c r="B1168" t="s">
        <v>981</v>
      </c>
      <c r="C1168" s="37"/>
      <c r="D1168" s="16"/>
      <c r="F1168" s="13"/>
      <c r="G1168" s="13">
        <f t="shared" si="38"/>
        <v>0</v>
      </c>
    </row>
    <row r="1169" spans="1:7" x14ac:dyDescent="0.3">
      <c r="A1169" t="s">
        <v>954</v>
      </c>
      <c r="B1169" t="s">
        <v>963</v>
      </c>
      <c r="C1169" s="37">
        <v>0</v>
      </c>
      <c r="D1169" s="16"/>
      <c r="F1169" s="13"/>
      <c r="G1169" s="13">
        <f t="shared" si="38"/>
        <v>0</v>
      </c>
    </row>
    <row r="1170" spans="1:7" x14ac:dyDescent="0.3">
      <c r="A1170" t="s">
        <v>525</v>
      </c>
      <c r="B1170" t="s">
        <v>187</v>
      </c>
      <c r="C1170" s="14"/>
      <c r="D1170" s="16"/>
      <c r="F1170" s="13"/>
      <c r="G1170" s="13">
        <f t="shared" si="38"/>
        <v>0</v>
      </c>
    </row>
    <row r="1171" spans="1:7" x14ac:dyDescent="0.3">
      <c r="A1171" t="s">
        <v>958</v>
      </c>
      <c r="B1171" t="s">
        <v>187</v>
      </c>
      <c r="C1171" s="14"/>
      <c r="D1171" s="16"/>
      <c r="F1171" s="13"/>
      <c r="G1171" s="13">
        <f t="shared" si="38"/>
        <v>0</v>
      </c>
    </row>
    <row r="1172" spans="1:7" x14ac:dyDescent="0.3">
      <c r="A1172" t="s">
        <v>955</v>
      </c>
      <c r="B1172" t="s">
        <v>187</v>
      </c>
      <c r="C1172" s="14"/>
      <c r="D1172" s="16"/>
      <c r="F1172" s="13"/>
      <c r="G1172" s="13">
        <f t="shared" si="38"/>
        <v>0</v>
      </c>
    </row>
    <row r="1173" spans="1:7" x14ac:dyDescent="0.3">
      <c r="A1173" t="s">
        <v>960</v>
      </c>
      <c r="B1173" t="s">
        <v>187</v>
      </c>
      <c r="C1173" s="14"/>
      <c r="D1173" s="16"/>
      <c r="F1173" s="13"/>
      <c r="G1173" s="13">
        <f t="shared" si="38"/>
        <v>0</v>
      </c>
    </row>
    <row r="1174" spans="1:7" x14ac:dyDescent="0.3">
      <c r="A1174" t="s">
        <v>961</v>
      </c>
      <c r="B1174" t="s">
        <v>187</v>
      </c>
      <c r="C1174" s="14"/>
      <c r="D1174" s="16"/>
      <c r="F1174" s="13"/>
      <c r="G1174" s="13">
        <f t="shared" si="38"/>
        <v>0</v>
      </c>
    </row>
    <row r="1175" spans="1:7" x14ac:dyDescent="0.3">
      <c r="A1175" t="s">
        <v>959</v>
      </c>
      <c r="B1175" t="s">
        <v>187</v>
      </c>
      <c r="C1175" s="14"/>
      <c r="D1175" s="16"/>
      <c r="F1175" s="13"/>
      <c r="G1175" s="13">
        <f t="shared" si="38"/>
        <v>0</v>
      </c>
    </row>
    <row r="1176" spans="1:7" x14ac:dyDescent="0.3">
      <c r="D1176" s="39" t="s">
        <v>127</v>
      </c>
      <c r="E1176" s="40"/>
      <c r="F1176" s="40"/>
      <c r="G1176" s="40">
        <f>SUM(G1165:G1175)</f>
        <v>100</v>
      </c>
    </row>
    <row r="1177" spans="1:7" x14ac:dyDescent="0.3">
      <c r="A1177" s="7" t="s">
        <v>62</v>
      </c>
      <c r="C1177" s="13"/>
      <c r="D1177" s="13"/>
      <c r="E1177" s="13"/>
      <c r="F1177" s="13"/>
    </row>
    <row r="1178" spans="1:7" x14ac:dyDescent="0.3">
      <c r="A1178" t="s">
        <v>952</v>
      </c>
      <c r="B1178" t="s">
        <v>964</v>
      </c>
      <c r="C1178" s="13">
        <v>215</v>
      </c>
      <c r="D1178" s="16"/>
      <c r="F1178" s="13"/>
      <c r="G1178" s="13">
        <f>C1178+F1178</f>
        <v>215</v>
      </c>
    </row>
    <row r="1179" spans="1:7" x14ac:dyDescent="0.3">
      <c r="A1179" t="s">
        <v>953</v>
      </c>
      <c r="B1179" t="s">
        <v>965</v>
      </c>
      <c r="C1179" s="13">
        <v>215</v>
      </c>
      <c r="D1179" s="16"/>
      <c r="F1179" s="13"/>
      <c r="G1179" s="13">
        <f t="shared" ref="G1179:G1188" si="39">C1179+F1179</f>
        <v>215</v>
      </c>
    </row>
    <row r="1180" spans="1:7" x14ac:dyDescent="0.3">
      <c r="A1180" t="s">
        <v>956</v>
      </c>
      <c r="B1180" t="s">
        <v>969</v>
      </c>
      <c r="C1180" s="13">
        <f>200+300</f>
        <v>500</v>
      </c>
      <c r="D1180" s="16">
        <v>25</v>
      </c>
      <c r="E1180" s="13">
        <f>D1180*IF($E$1162&lt;2500, 0, ($E$1162-2500)/300)</f>
        <v>0</v>
      </c>
      <c r="F1180" s="13">
        <f>C1180+E1180</f>
        <v>500</v>
      </c>
      <c r="G1180" s="13">
        <f t="shared" si="39"/>
        <v>1000</v>
      </c>
    </row>
    <row r="1181" spans="1:7" x14ac:dyDescent="0.3">
      <c r="A1181" t="s">
        <v>957</v>
      </c>
      <c r="B1181" t="s">
        <v>981</v>
      </c>
      <c r="C1181" s="13"/>
      <c r="D1181" s="16"/>
      <c r="F1181" s="13"/>
      <c r="G1181" s="13">
        <f t="shared" si="39"/>
        <v>0</v>
      </c>
    </row>
    <row r="1182" spans="1:7" x14ac:dyDescent="0.3">
      <c r="A1182" t="s">
        <v>954</v>
      </c>
      <c r="B1182" t="s">
        <v>970</v>
      </c>
      <c r="C1182" s="13">
        <v>275</v>
      </c>
      <c r="D1182" s="16"/>
      <c r="F1182" s="13"/>
      <c r="G1182" s="13">
        <f t="shared" si="39"/>
        <v>275</v>
      </c>
    </row>
    <row r="1183" spans="1:7" x14ac:dyDescent="0.3">
      <c r="A1183" t="s">
        <v>525</v>
      </c>
      <c r="B1183" t="s">
        <v>187</v>
      </c>
      <c r="C1183" s="13"/>
      <c r="D1183" s="16"/>
      <c r="F1183" s="13"/>
      <c r="G1183" s="13">
        <f t="shared" si="39"/>
        <v>0</v>
      </c>
    </row>
    <row r="1184" spans="1:7" x14ac:dyDescent="0.3">
      <c r="A1184" t="s">
        <v>958</v>
      </c>
      <c r="B1184" t="s">
        <v>972</v>
      </c>
      <c r="C1184" s="13">
        <f>150*2</f>
        <v>300</v>
      </c>
      <c r="D1184" s="16"/>
      <c r="F1184" s="13"/>
      <c r="G1184" s="13">
        <f t="shared" si="39"/>
        <v>300</v>
      </c>
    </row>
    <row r="1185" spans="1:7" x14ac:dyDescent="0.3">
      <c r="A1185" t="s">
        <v>955</v>
      </c>
      <c r="B1185" t="s">
        <v>187</v>
      </c>
      <c r="C1185" s="13"/>
      <c r="D1185" s="16"/>
      <c r="F1185" s="13"/>
      <c r="G1185" s="13">
        <f t="shared" si="39"/>
        <v>0</v>
      </c>
    </row>
    <row r="1186" spans="1:7" x14ac:dyDescent="0.3">
      <c r="A1186" t="s">
        <v>960</v>
      </c>
      <c r="B1186" t="s">
        <v>973</v>
      </c>
      <c r="C1186" s="13">
        <v>200</v>
      </c>
      <c r="D1186" s="16"/>
      <c r="F1186" s="13"/>
      <c r="G1186" s="13">
        <f t="shared" si="39"/>
        <v>200</v>
      </c>
    </row>
    <row r="1187" spans="1:7" x14ac:dyDescent="0.3">
      <c r="A1187" t="s">
        <v>961</v>
      </c>
      <c r="B1187" t="s">
        <v>187</v>
      </c>
      <c r="C1187" s="13"/>
      <c r="D1187" s="16"/>
      <c r="F1187" s="13"/>
      <c r="G1187" s="13">
        <f t="shared" si="39"/>
        <v>0</v>
      </c>
    </row>
    <row r="1188" spans="1:7" x14ac:dyDescent="0.3">
      <c r="A1188" t="s">
        <v>959</v>
      </c>
      <c r="B1188" t="s">
        <v>187</v>
      </c>
      <c r="C1188" s="13"/>
      <c r="D1188" s="16"/>
      <c r="F1188" s="13"/>
      <c r="G1188" s="13">
        <f t="shared" si="39"/>
        <v>0</v>
      </c>
    </row>
    <row r="1189" spans="1:7" x14ac:dyDescent="0.3">
      <c r="D1189" s="39" t="s">
        <v>130</v>
      </c>
      <c r="E1189" s="40"/>
      <c r="F1189" s="40"/>
      <c r="G1189" s="40">
        <f>SUM(G1178:G1188)</f>
        <v>2205</v>
      </c>
    </row>
    <row r="1190" spans="1:7" x14ac:dyDescent="0.3">
      <c r="A1190" s="7" t="s">
        <v>63</v>
      </c>
      <c r="F1190" s="13"/>
    </row>
    <row r="1191" spans="1:7" x14ac:dyDescent="0.3">
      <c r="A1191" t="s">
        <v>952</v>
      </c>
      <c r="B1191" t="s">
        <v>964</v>
      </c>
      <c r="C1191" s="13">
        <v>215</v>
      </c>
      <c r="D1191" s="13"/>
      <c r="F1191" s="13"/>
      <c r="G1191" s="13">
        <f>C1191+F1191</f>
        <v>215</v>
      </c>
    </row>
    <row r="1192" spans="1:7" x14ac:dyDescent="0.3">
      <c r="A1192" t="s">
        <v>953</v>
      </c>
      <c r="B1192" t="s">
        <v>965</v>
      </c>
      <c r="C1192" s="13">
        <f>215+100</f>
        <v>315</v>
      </c>
      <c r="D1192" s="13"/>
      <c r="F1192" s="13"/>
      <c r="G1192" s="13">
        <f t="shared" ref="G1192:G1200" si="40">C1192+F1192</f>
        <v>315</v>
      </c>
    </row>
    <row r="1193" spans="1:7" x14ac:dyDescent="0.3">
      <c r="A1193" t="s">
        <v>956</v>
      </c>
      <c r="B1193" t="s">
        <v>983</v>
      </c>
      <c r="C1193" s="13">
        <v>200</v>
      </c>
      <c r="D1193" s="13">
        <v>25</v>
      </c>
      <c r="E1193" s="13">
        <f>D1193*IF($E$1162&lt;2500, 0, ($E$1162-2500)/300)</f>
        <v>0</v>
      </c>
      <c r="F1193" s="13">
        <f>C1193+E1193</f>
        <v>200</v>
      </c>
      <c r="G1193" s="13">
        <f t="shared" si="40"/>
        <v>400</v>
      </c>
    </row>
    <row r="1194" spans="1:7" x14ac:dyDescent="0.3">
      <c r="A1194" t="s">
        <v>957</v>
      </c>
      <c r="B1194" t="s">
        <v>974</v>
      </c>
      <c r="C1194" s="13"/>
      <c r="D1194" s="13">
        <v>75</v>
      </c>
      <c r="E1194" s="18">
        <f>1+'Attributes Inputs and Outputs'!B8+IF('Attributes Inputs and Outputs'!H8='Defaults and Ranges'!K24, 1, 0)+IF('Attributes Inputs and Outputs'!H9='Defaults and Ranges'!K25, 1, 0)+IF('Attributes Inputs and Outputs'!H10='Defaults and Ranges'!K26, 1, 0)+IF('Attributes Inputs and Outputs'!H11='Defaults and Ranges'!K27, 1, 0)+IF('Attributes Inputs and Outputs'!H12='Defaults and Ranges'!K28, 1, 0)+IF('Attributes Inputs and Outputs'!H13='Defaults and Ranges'!K29, 1, 0)+IF('Attributes Inputs and Outputs'!H14='Defaults and Ranges'!K30, 1, 0)+IF('Attributes Inputs and Outputs'!H15='Defaults and Ranges'!K31, 1, 0)+IF('Attributes Inputs and Outputs'!H17='Defaults and Ranges'!K33, 1, 0)+IF(E1162&gt;3000, (E1162-3000)/1000, 0)</f>
        <v>4</v>
      </c>
      <c r="F1194" s="13">
        <f>D1194*E1194</f>
        <v>300</v>
      </c>
      <c r="G1194" s="13">
        <f t="shared" si="40"/>
        <v>300</v>
      </c>
    </row>
    <row r="1195" spans="1:7" x14ac:dyDescent="0.3">
      <c r="A1195" t="s">
        <v>954</v>
      </c>
      <c r="B1195" t="s">
        <v>975</v>
      </c>
      <c r="C1195" s="13"/>
      <c r="D1195" s="13">
        <v>275</v>
      </c>
      <c r="E1195">
        <f>IF('Packages Inputs and Outputs'!E56='Defaults and Ranges'!B53, 1, IF('Packages Inputs and Outputs'!E56='Defaults and Ranges'!B54, D1073,IF( 'Packages Inputs and Outputs'!E56='Defaults and Ranges'!B55, D1081, D1089)))</f>
        <v>3</v>
      </c>
      <c r="F1195" s="13">
        <f>D1195*E1195</f>
        <v>825</v>
      </c>
      <c r="G1195" s="13">
        <f t="shared" si="40"/>
        <v>825</v>
      </c>
    </row>
    <row r="1196" spans="1:7" x14ac:dyDescent="0.3">
      <c r="A1196" t="s">
        <v>525</v>
      </c>
      <c r="B1196" t="s">
        <v>982</v>
      </c>
      <c r="C1196" s="13"/>
      <c r="D1196" s="13">
        <v>35</v>
      </c>
      <c r="E1196" s="18">
        <f>IF('Packages Inputs and Outputs'!E8='Defaults and Ranges'!B53,4,IF('Packages Inputs and Outputs'!E8='Defaults and Ranges'!B54, 7, 10)   )+(IF('Attributes Calculations'!E16&gt;2500,('Attributes Calculations'!E16-2500)/1000,0))+IF('Packages Inputs and Outputs'!E26='Defaults and Ranges'!B53, 1+'Attributes Calculations'!E16/'Defaults and Ranges'!E47, IF('Packages Inputs and Outputs'!E26='Defaults and Ranges'!B54, 5+'Attributes Calculations'!E16/1680, IF('Packages Inputs and Outputs'!E26='Defaults and Ranges'!B55, 6+'Attributes Calculations'!E16/1680,7+'Attributes Calculations'!E16/1400 ) )  )</f>
        <v>13.36845238095238</v>
      </c>
      <c r="F1196" s="13">
        <f>D1196*E1196</f>
        <v>467.89583333333331</v>
      </c>
      <c r="G1196" s="13">
        <f t="shared" si="40"/>
        <v>467.89583333333331</v>
      </c>
    </row>
    <row r="1197" spans="1:7" x14ac:dyDescent="0.3">
      <c r="A1197" t="s">
        <v>958</v>
      </c>
      <c r="B1197" t="s">
        <v>977</v>
      </c>
      <c r="C1197" s="13">
        <f>150*4</f>
        <v>600</v>
      </c>
      <c r="D1197" s="13"/>
      <c r="F1197" s="13"/>
      <c r="G1197" s="13">
        <f t="shared" si="40"/>
        <v>600</v>
      </c>
    </row>
    <row r="1198" spans="1:7" x14ac:dyDescent="0.3">
      <c r="A1198" t="s">
        <v>955</v>
      </c>
      <c r="B1198" t="s">
        <v>978</v>
      </c>
      <c r="C1198" s="13">
        <f>100*4</f>
        <v>400</v>
      </c>
      <c r="D1198" s="13"/>
      <c r="F1198" s="13"/>
      <c r="G1198" s="13">
        <f t="shared" si="40"/>
        <v>400</v>
      </c>
    </row>
    <row r="1199" spans="1:7" x14ac:dyDescent="0.3">
      <c r="A1199" t="s">
        <v>960</v>
      </c>
      <c r="B1199" t="s">
        <v>973</v>
      </c>
      <c r="C1199" s="13">
        <v>200</v>
      </c>
      <c r="D1199" s="13"/>
      <c r="F1199" s="13"/>
      <c r="G1199" s="13">
        <f t="shared" si="40"/>
        <v>200</v>
      </c>
    </row>
    <row r="1200" spans="1:7" x14ac:dyDescent="0.3">
      <c r="A1200" t="s">
        <v>961</v>
      </c>
      <c r="B1200" t="s">
        <v>980</v>
      </c>
      <c r="C1200" s="13">
        <f>250*8+500 +400</f>
        <v>2900</v>
      </c>
      <c r="D1200" s="13"/>
      <c r="F1200" s="13"/>
      <c r="G1200" s="13">
        <f t="shared" si="40"/>
        <v>2900</v>
      </c>
    </row>
    <row r="1201" spans="1:9" x14ac:dyDescent="0.3">
      <c r="A1201" t="s">
        <v>959</v>
      </c>
      <c r="B1201" t="s">
        <v>979</v>
      </c>
      <c r="C1201" s="13"/>
      <c r="D1201" s="13">
        <v>50</v>
      </c>
      <c r="E1201">
        <f>IF(AND('Packages Inputs and Outputs'!E9='Defaults and Ranges'!B56,NOT( 'Packages Inputs and Outputs'!D9="N/A")), 1, 0)+IF(AND('Packages Inputs and Outputs'!E10='Defaults and Ranges'!B56,NOT( 'Packages Inputs and Outputs'!D10="N/A")), 1, 0)+IF(AND('Packages Inputs and Outputs'!E11='Defaults and Ranges'!B56,NOT( 'Packages Inputs and Outputs'!D11="N/A")), 1, 0)+IF(AND('Packages Inputs and Outputs'!E12='Defaults and Ranges'!B56,NOT( 'Packages Inputs and Outputs'!D12="N/A")), 1, 0)+IF(AND('Packages Inputs and Outputs'!E13='Defaults and Ranges'!B56,NOT( 'Packages Inputs and Outputs'!D13="N/A")), 1, 0)+IF(AND('Packages Inputs and Outputs'!E14='Defaults and Ranges'!B56,NOT( 'Packages Inputs and Outputs'!D14="N/A")), 1, 0)+IF(AND('Packages Inputs and Outputs'!E15='Defaults and Ranges'!B56,NOT( 'Packages Inputs and Outputs'!D15="N/A")), 1, 0)+IF(AND('Packages Inputs and Outputs'!E16='Defaults and Ranges'!B56,NOT( 'Packages Inputs and Outputs'!D16="N/A")), 1, 0)</f>
        <v>1</v>
      </c>
      <c r="F1201" s="13"/>
      <c r="G1201" s="13">
        <f>D1201*E1201</f>
        <v>50</v>
      </c>
    </row>
    <row r="1202" spans="1:9" x14ac:dyDescent="0.3">
      <c r="D1202" s="39" t="s">
        <v>133</v>
      </c>
      <c r="E1202" s="40"/>
      <c r="F1202" s="40"/>
      <c r="G1202" s="40">
        <f>SUM(G1191:G1201)</f>
        <v>6672.8958333333339</v>
      </c>
    </row>
    <row r="1203" spans="1:9" x14ac:dyDescent="0.3">
      <c r="A1203" s="7" t="s">
        <v>64</v>
      </c>
      <c r="F1203" s="13"/>
      <c r="I1203" t="s">
        <v>1228</v>
      </c>
    </row>
    <row r="1204" spans="1:9" x14ac:dyDescent="0.3">
      <c r="A1204" t="s">
        <v>952</v>
      </c>
      <c r="B1204" t="s">
        <v>964</v>
      </c>
      <c r="C1204" s="13">
        <v>215</v>
      </c>
      <c r="D1204" s="13"/>
      <c r="F1204" s="13"/>
      <c r="G1204" s="13">
        <f>C1204+F1204</f>
        <v>215</v>
      </c>
    </row>
    <row r="1205" spans="1:9" x14ac:dyDescent="0.3">
      <c r="A1205" t="s">
        <v>953</v>
      </c>
      <c r="B1205" t="s">
        <v>965</v>
      </c>
      <c r="C1205" s="13">
        <v>215</v>
      </c>
      <c r="D1205" s="13"/>
      <c r="F1205" s="13"/>
      <c r="G1205" s="13">
        <f t="shared" ref="G1205:G1213" si="41">C1205+F1205</f>
        <v>215</v>
      </c>
    </row>
    <row r="1206" spans="1:9" x14ac:dyDescent="0.3">
      <c r="A1206" t="s">
        <v>956</v>
      </c>
      <c r="B1206" t="s">
        <v>984</v>
      </c>
      <c r="C1206" s="13">
        <v>200</v>
      </c>
      <c r="D1206" s="13">
        <v>25</v>
      </c>
      <c r="E1206" s="13">
        <f>D1206*IF($E$1162&lt;2500, 0, ($E$1162-2500)/300)</f>
        <v>0</v>
      </c>
      <c r="F1206" s="13">
        <f>C1206+E1206</f>
        <v>200</v>
      </c>
      <c r="G1206" s="13">
        <f t="shared" si="41"/>
        <v>400</v>
      </c>
    </row>
    <row r="1207" spans="1:9" x14ac:dyDescent="0.3">
      <c r="A1207" t="s">
        <v>957</v>
      </c>
      <c r="B1207" t="s">
        <v>974</v>
      </c>
      <c r="C1207" s="13"/>
      <c r="D1207" s="13">
        <v>75</v>
      </c>
      <c r="E1207" s="18">
        <f>1+'Attributes Inputs and Outputs'!B8+IF('Attributes Inputs and Outputs'!H8='Defaults and Ranges'!K24, 1, 0)+IF('Attributes Inputs and Outputs'!H12='Defaults and Ranges'!K25, 1, 0)+IF('Attributes Inputs and Outputs'!H13='Defaults and Ranges'!K26, 1, 0)+IF('Attributes Inputs and Outputs'!H14='Defaults and Ranges'!K27, 1, 0)+IF('Attributes Inputs and Outputs'!H15='Defaults and Ranges'!K28, 1, 0)+IF('Attributes Inputs and Outputs'!H16='Defaults and Ranges'!K29, 1, 0)+IF('Attributes Inputs and Outputs'!H17='Defaults and Ranges'!K30, 1, 0)+IF('Attributes Inputs and Outputs'!H18='Defaults and Ranges'!K31, 1, 0)+IF('Attributes Inputs and Outputs'!H20='Defaults and Ranges'!K33, 1, 0)+IF('Attributes Calculations'!E16&gt;3000, ('Attributes Calculations'!E16-3000)/1000, 0)</f>
        <v>4</v>
      </c>
      <c r="F1207" s="13">
        <f>D1207*E1207</f>
        <v>300</v>
      </c>
      <c r="G1207" s="13">
        <f t="shared" si="41"/>
        <v>300</v>
      </c>
    </row>
    <row r="1208" spans="1:9" x14ac:dyDescent="0.3">
      <c r="A1208" t="s">
        <v>954</v>
      </c>
      <c r="B1208" t="s">
        <v>975</v>
      </c>
      <c r="C1208" s="13"/>
      <c r="D1208" s="13">
        <v>275</v>
      </c>
      <c r="E1208">
        <f>IF('Packages Inputs and Outputs'!E56='Defaults and Ranges'!B53, 1, IF('Packages Inputs and Outputs'!E56='Defaults and Ranges'!B54, D1073,IF( 'Packages Inputs and Outputs'!E56='Defaults and Ranges'!B55, D1081, D1089)))</f>
        <v>3</v>
      </c>
      <c r="F1208" s="13">
        <f>D1208*E1208</f>
        <v>825</v>
      </c>
      <c r="G1208" s="13">
        <f t="shared" si="41"/>
        <v>825</v>
      </c>
    </row>
    <row r="1209" spans="1:9" x14ac:dyDescent="0.3">
      <c r="A1209" t="s">
        <v>525</v>
      </c>
      <c r="B1209" t="s">
        <v>998</v>
      </c>
      <c r="C1209" s="13">
        <v>65</v>
      </c>
      <c r="D1209" s="18">
        <f>IF('Packages Inputs and Outputs'!E8='Defaults and Ranges'!B53,4,IF('Packages Inputs and Outputs'!E8='Defaults and Ranges'!B54, 7, 10)   )+(IF('Attributes Calculations'!E29&gt;2500,('Attributes Calculations'!E29-2500)/1000,0))+IF('Packages Inputs and Outputs'!E26='Defaults and Ranges'!B53, 1+'Attributes Calculations'!E16/'Defaults and Ranges'!E47, IF('Packages Inputs and Outputs'!E26='Defaults and Ranges'!B54, 5+'Attributes Calculations'!E16/1680, IF('Packages Inputs and Outputs'!E26='Defaults and Ranges'!B55, 6+'Attributes Calculations'!E16/1680,7+'Attributes Calculations'!E16/1400 ) )  )+K33+K66+K239+K268+K299+K338+K369+K445+K490+K597+K748+E1162/1000</f>
        <v>50.667452380952376</v>
      </c>
      <c r="E1209" s="13">
        <v>35</v>
      </c>
      <c r="F1209" s="18">
        <f>L33+K162+K19+K400+K530+K634+K944</f>
        <v>23</v>
      </c>
      <c r="G1209" s="13">
        <f>C1209*D1209+E1209*F1209</f>
        <v>4098.3844047619041</v>
      </c>
    </row>
    <row r="1210" spans="1:9" x14ac:dyDescent="0.3">
      <c r="A1210" t="s">
        <v>958</v>
      </c>
      <c r="B1210" t="s">
        <v>1021</v>
      </c>
      <c r="C1210" s="13">
        <f>250*4</f>
        <v>1000</v>
      </c>
      <c r="D1210" s="13"/>
      <c r="F1210" s="13"/>
      <c r="G1210" s="13">
        <f t="shared" si="41"/>
        <v>1000</v>
      </c>
    </row>
    <row r="1211" spans="1:9" x14ac:dyDescent="0.3">
      <c r="A1211" t="s">
        <v>955</v>
      </c>
      <c r="B1211" t="s">
        <v>1022</v>
      </c>
      <c r="C1211" s="13">
        <f>6*100</f>
        <v>600</v>
      </c>
      <c r="D1211" s="13">
        <v>100</v>
      </c>
      <c r="E1211" s="18">
        <f>IF(E1162&gt;3000,(E1162-3000)/1000,0)</f>
        <v>0</v>
      </c>
      <c r="F1211" s="13">
        <f>D1211*E1211</f>
        <v>0</v>
      </c>
      <c r="G1211" s="13">
        <f t="shared" si="41"/>
        <v>600</v>
      </c>
    </row>
    <row r="1212" spans="1:9" x14ac:dyDescent="0.3">
      <c r="A1212" t="s">
        <v>960</v>
      </c>
      <c r="B1212" t="s">
        <v>973</v>
      </c>
      <c r="C1212" s="13">
        <v>200</v>
      </c>
      <c r="D1212" s="13"/>
      <c r="E1212" s="18"/>
      <c r="F1212" s="13"/>
      <c r="G1212" s="13">
        <f t="shared" si="41"/>
        <v>200</v>
      </c>
    </row>
    <row r="1213" spans="1:9" x14ac:dyDescent="0.3">
      <c r="A1213" t="s">
        <v>961</v>
      </c>
      <c r="B1213" t="s">
        <v>1023</v>
      </c>
      <c r="C1213" s="13">
        <f>250*12+1000</f>
        <v>4000</v>
      </c>
      <c r="D1213" s="13">
        <v>250</v>
      </c>
      <c r="E1213" s="18">
        <f>IF(E1162&gt;3000, (E1162-3000)/400, 0)</f>
        <v>0</v>
      </c>
      <c r="F1213" s="13">
        <f>D1213*E1213</f>
        <v>0</v>
      </c>
      <c r="G1213" s="13">
        <f t="shared" si="41"/>
        <v>4000</v>
      </c>
    </row>
    <row r="1214" spans="1:9" x14ac:dyDescent="0.3">
      <c r="A1214" t="s">
        <v>959</v>
      </c>
      <c r="B1214" t="s">
        <v>979</v>
      </c>
      <c r="C1214" s="13"/>
      <c r="D1214" s="13">
        <v>50</v>
      </c>
      <c r="E1214">
        <f>IF(AND('Packages Inputs and Outputs'!E9='Defaults and Ranges'!B56,NOT( 'Packages Inputs and Outputs'!D9="N/A")), 1, 0)+IF(AND('Packages Inputs and Outputs'!E10='Defaults and Ranges'!B56,NOT( 'Packages Inputs and Outputs'!D10="N/A")), 1, 0)+IF(AND('Packages Inputs and Outputs'!E11='Defaults and Ranges'!B56,NOT( 'Packages Inputs and Outputs'!D11="N/A")), 1, 0)+IF(AND('Packages Inputs and Outputs'!E12='Defaults and Ranges'!B56,NOT( 'Packages Inputs and Outputs'!D12="N/A")), 1, 0)+IF(AND('Packages Inputs and Outputs'!E13='Defaults and Ranges'!B56,NOT( 'Packages Inputs and Outputs'!D13="N/A")), 1, 0)+IF(AND('Packages Inputs and Outputs'!E14='Defaults and Ranges'!B56,NOT( 'Packages Inputs and Outputs'!D14="N/A")), 1, 0)+IF(AND('Packages Inputs and Outputs'!E15='Defaults and Ranges'!B56,NOT( 'Packages Inputs and Outputs'!D15="N/A")), 1, 0)+IF(AND('Packages Inputs and Outputs'!E16='Defaults and Ranges'!B56,NOT( 'Packages Inputs and Outputs'!D16="N/A")), 1, 0)</f>
        <v>1</v>
      </c>
      <c r="F1214" s="13"/>
      <c r="G1214" s="13">
        <f>D1214*E1214</f>
        <v>50</v>
      </c>
    </row>
    <row r="1215" spans="1:9" x14ac:dyDescent="0.3">
      <c r="D1215" s="39" t="s">
        <v>137</v>
      </c>
      <c r="E1215" s="40"/>
      <c r="F1215" s="40"/>
      <c r="G1215" s="40">
        <f>SUM(G1204:G1214)</f>
        <v>11903.384404761904</v>
      </c>
    </row>
    <row r="1218" spans="1:7" x14ac:dyDescent="0.3">
      <c r="E1218" t="s">
        <v>45</v>
      </c>
    </row>
    <row r="1219" spans="1:7" x14ac:dyDescent="0.3">
      <c r="B1219" t="s">
        <v>107</v>
      </c>
      <c r="C1219" s="11"/>
      <c r="D1219" s="11"/>
      <c r="E1219" s="11">
        <f>'Attributes Inputs and Outputs'!D15</f>
        <v>2299</v>
      </c>
      <c r="F1219" s="13"/>
    </row>
    <row r="1220" spans="1:7" x14ac:dyDescent="0.3">
      <c r="A1220" s="7" t="s">
        <v>61</v>
      </c>
      <c r="D1220" t="s">
        <v>1026</v>
      </c>
      <c r="E1220" t="s">
        <v>1027</v>
      </c>
      <c r="G1220" t="s">
        <v>56</v>
      </c>
    </row>
    <row r="1221" spans="1:7" x14ac:dyDescent="0.3">
      <c r="A1221" t="s">
        <v>1024</v>
      </c>
      <c r="B1221" t="s">
        <v>1025</v>
      </c>
      <c r="C1221" s="13">
        <v>2500</v>
      </c>
      <c r="E1221" s="16"/>
      <c r="F1221" s="13"/>
      <c r="G1221" s="13">
        <f>C1221</f>
        <v>2500</v>
      </c>
    </row>
    <row r="1222" spans="1:7" x14ac:dyDescent="0.3">
      <c r="C1222" s="13"/>
      <c r="E1222" s="16"/>
      <c r="F1222" s="13"/>
      <c r="G1222" s="13"/>
    </row>
    <row r="1223" spans="1:7" x14ac:dyDescent="0.3">
      <c r="D1223" s="39" t="s">
        <v>127</v>
      </c>
      <c r="E1223" s="40"/>
      <c r="F1223" s="40"/>
      <c r="G1223" s="40">
        <f>SUM(G1221:G1222)</f>
        <v>2500</v>
      </c>
    </row>
    <row r="1224" spans="1:7" x14ac:dyDescent="0.3">
      <c r="A1224" s="7" t="s">
        <v>62</v>
      </c>
      <c r="C1224" s="13"/>
      <c r="F1224" s="13"/>
      <c r="G1224" t="s">
        <v>56</v>
      </c>
    </row>
    <row r="1225" spans="1:7" x14ac:dyDescent="0.3">
      <c r="A1225" t="s">
        <v>1030</v>
      </c>
      <c r="B1225" t="s">
        <v>1028</v>
      </c>
      <c r="C1225" s="13">
        <v>9000</v>
      </c>
      <c r="D1225">
        <v>0.2</v>
      </c>
      <c r="E1225" s="16">
        <f>($E$1219-2500)*D1225</f>
        <v>-40.200000000000003</v>
      </c>
      <c r="F1225" s="13"/>
      <c r="G1225" s="13">
        <f>C1225+E1225</f>
        <v>8959.7999999999993</v>
      </c>
    </row>
    <row r="1226" spans="1:7" x14ac:dyDescent="0.3">
      <c r="C1226" s="13"/>
      <c r="E1226" s="16"/>
      <c r="F1226" s="13"/>
      <c r="G1226" s="13"/>
    </row>
    <row r="1227" spans="1:7" x14ac:dyDescent="0.3">
      <c r="D1227" s="39" t="s">
        <v>130</v>
      </c>
      <c r="E1227" s="65"/>
      <c r="F1227" s="40"/>
      <c r="G1227" s="40">
        <f>SUM(G1225:G1226)</f>
        <v>8959.7999999999993</v>
      </c>
    </row>
    <row r="1228" spans="1:7" x14ac:dyDescent="0.3">
      <c r="A1228" s="7" t="s">
        <v>63</v>
      </c>
      <c r="F1228" s="13"/>
      <c r="G1228" t="s">
        <v>56</v>
      </c>
    </row>
    <row r="1229" spans="1:7" x14ac:dyDescent="0.3">
      <c r="A1229" t="s">
        <v>1031</v>
      </c>
      <c r="B1229" t="s">
        <v>1029</v>
      </c>
      <c r="C1229" s="13">
        <v>11000</v>
      </c>
      <c r="D1229">
        <v>0.1</v>
      </c>
      <c r="E1229" s="16">
        <f>($E$1219-2500)*D1229</f>
        <v>-20.100000000000001</v>
      </c>
      <c r="F1229" s="13"/>
      <c r="G1229" s="13">
        <f>C1229+E1229</f>
        <v>10979.9</v>
      </c>
    </row>
    <row r="1230" spans="1:7" x14ac:dyDescent="0.3">
      <c r="E1230" s="16"/>
      <c r="F1230" s="13"/>
      <c r="G1230" s="13"/>
    </row>
    <row r="1231" spans="1:7" x14ac:dyDescent="0.3">
      <c r="D1231" s="39" t="s">
        <v>133</v>
      </c>
      <c r="E1231" s="65"/>
      <c r="F1231" s="40"/>
      <c r="G1231" s="40">
        <f>SUM(G1229:G1230)</f>
        <v>10979.9</v>
      </c>
    </row>
    <row r="1232" spans="1:7" x14ac:dyDescent="0.3">
      <c r="A1232" s="7" t="s">
        <v>64</v>
      </c>
      <c r="F1232" s="13"/>
      <c r="G1232" t="s">
        <v>56</v>
      </c>
    </row>
    <row r="1233" spans="1:7" x14ac:dyDescent="0.3">
      <c r="A1233" t="s">
        <v>1177</v>
      </c>
      <c r="B1233" t="s">
        <v>1176</v>
      </c>
      <c r="C1233" s="13">
        <v>28500</v>
      </c>
      <c r="D1233">
        <v>0.1</v>
      </c>
      <c r="E1233" s="16">
        <f>($E$1219-2500)*D1233</f>
        <v>-20.100000000000001</v>
      </c>
      <c r="F1233" s="13"/>
      <c r="G1233" s="13">
        <f>C1233+E1233</f>
        <v>28479.9</v>
      </c>
    </row>
    <row r="1234" spans="1:7" x14ac:dyDescent="0.3">
      <c r="C1234" s="13"/>
      <c r="E1234" s="16"/>
      <c r="F1234" s="13"/>
      <c r="G1234" s="13"/>
    </row>
    <row r="1235" spans="1:7" x14ac:dyDescent="0.3">
      <c r="D1235" s="39" t="s">
        <v>137</v>
      </c>
      <c r="E1235" s="65"/>
      <c r="F1235" s="40"/>
      <c r="G1235" s="40">
        <f>SUM(G1233:G1234)</f>
        <v>28479.9</v>
      </c>
    </row>
    <row r="1238" spans="1:7" x14ac:dyDescent="0.3">
      <c r="E1238" s="11" t="s">
        <v>1032</v>
      </c>
    </row>
    <row r="1239" spans="1:7" x14ac:dyDescent="0.3">
      <c r="B1239" t="s">
        <v>657</v>
      </c>
      <c r="C1239" s="11"/>
      <c r="E1239">
        <f>'Attributes Inputs and Outputs'!J8+IF(NOT('Attributes Inputs and Outputs'!E8='Defaults and Ranges'!G24), 1, 0)</f>
        <v>3</v>
      </c>
      <c r="F1239" s="13"/>
    </row>
    <row r="1240" spans="1:7" x14ac:dyDescent="0.3">
      <c r="A1240" s="7" t="s">
        <v>61</v>
      </c>
      <c r="C1240" t="s">
        <v>966</v>
      </c>
      <c r="D1240" t="s">
        <v>1046</v>
      </c>
      <c r="G1240" t="s">
        <v>56</v>
      </c>
    </row>
    <row r="1241" spans="1:7" x14ac:dyDescent="0.3">
      <c r="A1241" t="s">
        <v>1033</v>
      </c>
      <c r="B1241" t="s">
        <v>1037</v>
      </c>
      <c r="C1241" s="13">
        <f>400+750 + 400</f>
        <v>1550</v>
      </c>
      <c r="D1241">
        <f>IF(E1239=3, 250+100, 0)+75*E1239+50*E1239</f>
        <v>725</v>
      </c>
      <c r="E1241" s="16"/>
      <c r="F1241" s="13"/>
      <c r="G1241" s="13">
        <f>C1241+D1241</f>
        <v>2275</v>
      </c>
    </row>
    <row r="1242" spans="1:7" x14ac:dyDescent="0.3">
      <c r="D1242" s="39" t="s">
        <v>127</v>
      </c>
      <c r="E1242" s="40"/>
      <c r="F1242" s="40"/>
      <c r="G1242" s="40">
        <f>SUM(G1241:G1241)</f>
        <v>2275</v>
      </c>
    </row>
    <row r="1243" spans="1:7" x14ac:dyDescent="0.3">
      <c r="A1243" s="7" t="s">
        <v>62</v>
      </c>
      <c r="C1243" s="13"/>
      <c r="F1243" s="13"/>
      <c r="G1243" t="s">
        <v>56</v>
      </c>
    </row>
    <row r="1244" spans="1:7" x14ac:dyDescent="0.3">
      <c r="A1244" t="s">
        <v>1216</v>
      </c>
      <c r="B1244" t="s">
        <v>1036</v>
      </c>
      <c r="C1244" s="13">
        <v>25000</v>
      </c>
      <c r="D1244" s="13">
        <f>IF($E$1239=3, 3000, 0)</f>
        <v>3000</v>
      </c>
      <c r="E1244" s="16"/>
      <c r="F1244" s="13"/>
      <c r="G1244" s="13">
        <f>C1244+D1244</f>
        <v>28000</v>
      </c>
    </row>
    <row r="1245" spans="1:7" x14ac:dyDescent="0.3">
      <c r="D1245" s="39" t="s">
        <v>130</v>
      </c>
      <c r="E1245" s="65"/>
      <c r="F1245" s="40"/>
      <c r="G1245" s="40">
        <f>SUM(G1244:G1244)</f>
        <v>28000</v>
      </c>
    </row>
    <row r="1246" spans="1:7" x14ac:dyDescent="0.3">
      <c r="A1246" s="7" t="s">
        <v>63</v>
      </c>
      <c r="F1246" s="13"/>
      <c r="G1246" t="s">
        <v>56</v>
      </c>
    </row>
    <row r="1247" spans="1:7" x14ac:dyDescent="0.3">
      <c r="A1247" t="s">
        <v>1034</v>
      </c>
      <c r="B1247" t="s">
        <v>1217</v>
      </c>
      <c r="C1247" s="13">
        <v>40000</v>
      </c>
      <c r="D1247" s="13">
        <v>10000</v>
      </c>
      <c r="E1247" s="16"/>
      <c r="F1247" s="13"/>
      <c r="G1247" s="13">
        <f>C1247+D1247</f>
        <v>50000</v>
      </c>
    </row>
    <row r="1248" spans="1:7" x14ac:dyDescent="0.3">
      <c r="D1248" s="39" t="s">
        <v>133</v>
      </c>
      <c r="E1248" s="65"/>
      <c r="F1248" s="40"/>
      <c r="G1248" s="40">
        <f>SUM(G1247:G1247)</f>
        <v>50000</v>
      </c>
    </row>
    <row r="1249" spans="1:7" x14ac:dyDescent="0.3">
      <c r="A1249" s="7" t="s">
        <v>64</v>
      </c>
      <c r="F1249" s="13"/>
      <c r="G1249" t="s">
        <v>56</v>
      </c>
    </row>
    <row r="1250" spans="1:7" x14ac:dyDescent="0.3">
      <c r="A1250" t="s">
        <v>1035</v>
      </c>
      <c r="B1250" t="s">
        <v>1218</v>
      </c>
      <c r="C1250" s="13">
        <v>100000</v>
      </c>
      <c r="D1250" s="13">
        <v>20000</v>
      </c>
      <c r="E1250" s="16"/>
      <c r="F1250" s="13"/>
      <c r="G1250" s="13">
        <f>C1250+D1250</f>
        <v>120000</v>
      </c>
    </row>
    <row r="1251" spans="1:7" x14ac:dyDescent="0.3">
      <c r="D1251" s="39" t="s">
        <v>137</v>
      </c>
      <c r="E1251" s="65"/>
      <c r="F1251" s="40"/>
      <c r="G1251" s="40">
        <f>SUM(G1250:G1250)</f>
        <v>120000</v>
      </c>
    </row>
    <row r="1253" spans="1:7" x14ac:dyDescent="0.3">
      <c r="E1253" s="11" t="s">
        <v>109</v>
      </c>
    </row>
    <row r="1254" spans="1:7" x14ac:dyDescent="0.3">
      <c r="B1254" t="s">
        <v>27</v>
      </c>
      <c r="C1254" s="11" t="s">
        <v>1047</v>
      </c>
      <c r="E1254" s="11">
        <f>'Attributes Back Calcs'!G12</f>
        <v>2299</v>
      </c>
      <c r="F1254" s="13"/>
    </row>
    <row r="1255" spans="1:7" x14ac:dyDescent="0.3">
      <c r="A1255" s="7" t="s">
        <v>61</v>
      </c>
      <c r="D1255" t="s">
        <v>1048</v>
      </c>
      <c r="G1255" t="s">
        <v>56</v>
      </c>
    </row>
    <row r="1256" spans="1:7" ht="28.8" x14ac:dyDescent="0.3">
      <c r="A1256" t="s">
        <v>1040</v>
      </c>
      <c r="B1256" s="47" t="s">
        <v>1041</v>
      </c>
      <c r="C1256" s="13"/>
      <c r="E1256" s="16"/>
      <c r="F1256" s="13"/>
      <c r="G1256" s="13">
        <f>'Attributes Calculations'!AH19</f>
        <v>3000</v>
      </c>
    </row>
    <row r="1257" spans="1:7" x14ac:dyDescent="0.3">
      <c r="B1257" s="47"/>
      <c r="D1257" s="39" t="s">
        <v>127</v>
      </c>
      <c r="E1257" s="40"/>
      <c r="F1257" s="40"/>
      <c r="G1257" s="40">
        <f>G1256</f>
        <v>3000</v>
      </c>
    </row>
    <row r="1258" spans="1:7" x14ac:dyDescent="0.3">
      <c r="A1258" s="7" t="s">
        <v>62</v>
      </c>
      <c r="B1258" s="47"/>
      <c r="C1258" s="13"/>
      <c r="F1258" s="13"/>
      <c r="G1258" t="s">
        <v>56</v>
      </c>
    </row>
    <row r="1259" spans="1:7" x14ac:dyDescent="0.3">
      <c r="A1259" t="s">
        <v>1049</v>
      </c>
      <c r="B1259" s="47" t="s">
        <v>1042</v>
      </c>
      <c r="C1259" s="13">
        <v>100</v>
      </c>
      <c r="D1259" s="16">
        <f>40+IF(E1254&lt;2500,0, (E1254-2500)*0.0021)</f>
        <v>40</v>
      </c>
      <c r="E1259" s="16"/>
      <c r="F1259" s="13"/>
      <c r="G1259" s="13">
        <f>C1259*D1259</f>
        <v>4000</v>
      </c>
    </row>
    <row r="1260" spans="1:7" x14ac:dyDescent="0.3">
      <c r="B1260" s="47"/>
      <c r="D1260" s="39" t="s">
        <v>130</v>
      </c>
      <c r="E1260" s="65"/>
      <c r="F1260" s="40"/>
      <c r="G1260" s="40">
        <f>SUM(G1259:G1259)</f>
        <v>4000</v>
      </c>
    </row>
    <row r="1261" spans="1:7" x14ac:dyDescent="0.3">
      <c r="A1261" s="7" t="s">
        <v>63</v>
      </c>
      <c r="B1261" s="47"/>
      <c r="F1261" s="13"/>
      <c r="G1261" t="s">
        <v>56</v>
      </c>
    </row>
    <row r="1262" spans="1:7" x14ac:dyDescent="0.3">
      <c r="A1262" t="s">
        <v>1050</v>
      </c>
      <c r="B1262" s="47" t="s">
        <v>1043</v>
      </c>
      <c r="C1262" s="13">
        <v>200</v>
      </c>
      <c r="D1262" s="16">
        <f>40+IF(E1254&lt;2500,0, (E1254-2500)*0.0021)</f>
        <v>40</v>
      </c>
      <c r="E1262" s="16"/>
      <c r="F1262" s="13"/>
      <c r="G1262" s="13">
        <f>C1262*D1262</f>
        <v>8000</v>
      </c>
    </row>
    <row r="1263" spans="1:7" x14ac:dyDescent="0.3">
      <c r="B1263" s="47"/>
      <c r="D1263" s="39" t="s">
        <v>133</v>
      </c>
      <c r="E1263" s="65"/>
      <c r="F1263" s="40"/>
      <c r="G1263" s="40">
        <f>SUM(G1262:G1262)</f>
        <v>8000</v>
      </c>
    </row>
    <row r="1264" spans="1:7" x14ac:dyDescent="0.3">
      <c r="A1264" s="7" t="s">
        <v>64</v>
      </c>
      <c r="B1264" s="47"/>
      <c r="F1264" s="13"/>
      <c r="G1264" t="s">
        <v>56</v>
      </c>
    </row>
    <row r="1265" spans="1:7" ht="28.8" x14ac:dyDescent="0.3">
      <c r="A1265" t="s">
        <v>1045</v>
      </c>
      <c r="B1265" s="47" t="s">
        <v>1044</v>
      </c>
      <c r="C1265" s="13">
        <v>200</v>
      </c>
      <c r="D1265" s="16">
        <f>60+IF(E1254&lt;2500,0, (E1254-2500)*0.0041)</f>
        <v>60</v>
      </c>
      <c r="E1265" s="16"/>
      <c r="F1265" s="13"/>
      <c r="G1265" s="13">
        <f>C1265*D1265</f>
        <v>12000</v>
      </c>
    </row>
    <row r="1266" spans="1:7" x14ac:dyDescent="0.3">
      <c r="D1266" s="39" t="s">
        <v>137</v>
      </c>
      <c r="E1266" s="65"/>
      <c r="F1266" s="40"/>
      <c r="G1266" s="40">
        <f>SUM(G1265:G1265)</f>
        <v>12000</v>
      </c>
    </row>
    <row r="1269" spans="1:7" x14ac:dyDescent="0.3">
      <c r="E1269" s="11" t="s">
        <v>1060</v>
      </c>
    </row>
    <row r="1270" spans="1:7" x14ac:dyDescent="0.3">
      <c r="B1270" t="s">
        <v>1051</v>
      </c>
      <c r="C1270" s="11"/>
      <c r="E1270">
        <f>'Attributes Inputs and Outputs'!$I$8</f>
        <v>2</v>
      </c>
      <c r="F1270" s="13"/>
    </row>
    <row r="1271" spans="1:7" x14ac:dyDescent="0.3">
      <c r="A1271" s="7" t="s">
        <v>61</v>
      </c>
      <c r="C1271" t="s">
        <v>966</v>
      </c>
      <c r="G1271" t="s">
        <v>56</v>
      </c>
    </row>
    <row r="1272" spans="1:7" x14ac:dyDescent="0.3">
      <c r="A1272" t="s">
        <v>1052</v>
      </c>
      <c r="B1272" t="s">
        <v>1054</v>
      </c>
      <c r="C1272" s="13">
        <v>500</v>
      </c>
      <c r="E1272" s="16"/>
      <c r="F1272" s="13"/>
      <c r="G1272" s="13">
        <f>C1272+D1272</f>
        <v>500</v>
      </c>
    </row>
    <row r="1273" spans="1:7" x14ac:dyDescent="0.3">
      <c r="D1273" s="39" t="s">
        <v>127</v>
      </c>
      <c r="E1273" s="40"/>
      <c r="F1273" s="40"/>
      <c r="G1273" s="40">
        <f>SUM(G1272:G1272)</f>
        <v>500</v>
      </c>
    </row>
    <row r="1274" spans="1:7" x14ac:dyDescent="0.3">
      <c r="A1274" s="7" t="s">
        <v>62</v>
      </c>
      <c r="C1274" s="13"/>
      <c r="F1274" s="13"/>
      <c r="G1274" t="s">
        <v>56</v>
      </c>
    </row>
    <row r="1275" spans="1:7" x14ac:dyDescent="0.3">
      <c r="A1275" t="s">
        <v>1053</v>
      </c>
      <c r="B1275" t="s">
        <v>1056</v>
      </c>
      <c r="C1275" s="13">
        <f>500+700</f>
        <v>1200</v>
      </c>
      <c r="D1275" s="13"/>
      <c r="E1275" s="16"/>
      <c r="F1275" s="13"/>
      <c r="G1275" s="13">
        <f>C1275+D1275</f>
        <v>1200</v>
      </c>
    </row>
    <row r="1276" spans="1:7" x14ac:dyDescent="0.3">
      <c r="D1276" s="39" t="s">
        <v>130</v>
      </c>
      <c r="E1276" s="65"/>
      <c r="F1276" s="40"/>
      <c r="G1276" s="40">
        <f>SUM(G1275:G1275)</f>
        <v>1200</v>
      </c>
    </row>
    <row r="1277" spans="1:7" x14ac:dyDescent="0.3">
      <c r="A1277" s="7" t="s">
        <v>63</v>
      </c>
      <c r="B1277" t="s">
        <v>1057</v>
      </c>
      <c r="F1277" s="13"/>
      <c r="G1277" t="s">
        <v>56</v>
      </c>
    </row>
    <row r="1278" spans="1:7" x14ac:dyDescent="0.3">
      <c r="A1278" t="s">
        <v>1055</v>
      </c>
      <c r="C1278" s="13">
        <f>500+300+700*2</f>
        <v>2200</v>
      </c>
      <c r="D1278" s="13"/>
      <c r="E1278" s="16"/>
      <c r="F1278" s="13"/>
      <c r="G1278" s="13">
        <f>C1278+D1278</f>
        <v>2200</v>
      </c>
    </row>
    <row r="1279" spans="1:7" x14ac:dyDescent="0.3">
      <c r="C1279" s="13"/>
      <c r="D1279" s="39" t="s">
        <v>133</v>
      </c>
      <c r="E1279" s="65"/>
      <c r="F1279" s="40"/>
      <c r="G1279" s="40">
        <f>SUM(G1278:G1278)</f>
        <v>2200</v>
      </c>
    </row>
    <row r="1280" spans="1:7" x14ac:dyDescent="0.3">
      <c r="A1280" s="7" t="s">
        <v>64</v>
      </c>
      <c r="C1280" s="13"/>
      <c r="F1280" s="13"/>
      <c r="G1280" t="s">
        <v>56</v>
      </c>
    </row>
    <row r="1281" spans="1:7" x14ac:dyDescent="0.3">
      <c r="A1281" t="s">
        <v>1058</v>
      </c>
      <c r="B1281" t="s">
        <v>1059</v>
      </c>
      <c r="C1281" s="13">
        <f>500+300*(E1270-1)+700*E1270</f>
        <v>2200</v>
      </c>
      <c r="D1281" s="13"/>
      <c r="E1281" s="16"/>
      <c r="F1281" s="13"/>
      <c r="G1281" s="13">
        <f>C1281+D1281</f>
        <v>2200</v>
      </c>
    </row>
    <row r="1282" spans="1:7" x14ac:dyDescent="0.3">
      <c r="D1282" s="39" t="s">
        <v>137</v>
      </c>
      <c r="E1282" s="65"/>
      <c r="F1282" s="40"/>
      <c r="G1282" s="40">
        <f>SUM(G1281:G1281)</f>
        <v>2200</v>
      </c>
    </row>
    <row r="1284" spans="1:7" x14ac:dyDescent="0.3">
      <c r="B1284" s="64"/>
    </row>
    <row r="1286" spans="1:7" x14ac:dyDescent="0.3">
      <c r="B1286" t="s">
        <v>101</v>
      </c>
      <c r="C1286" s="11"/>
      <c r="D1286" s="12"/>
      <c r="E1286" s="51"/>
      <c r="F1286" s="12"/>
      <c r="G1286" s="11"/>
    </row>
    <row r="1287" spans="1:7" x14ac:dyDescent="0.3">
      <c r="A1287" s="7" t="s">
        <v>61</v>
      </c>
      <c r="C1287" t="s">
        <v>880</v>
      </c>
      <c r="G1287" t="s">
        <v>56</v>
      </c>
    </row>
    <row r="1288" spans="1:7" x14ac:dyDescent="0.3">
      <c r="A1288" t="s">
        <v>727</v>
      </c>
      <c r="B1288" t="s">
        <v>1066</v>
      </c>
      <c r="C1288" s="13">
        <f>30*3*10</f>
        <v>900</v>
      </c>
      <c r="D1288" s="16"/>
      <c r="E1288" s="13"/>
      <c r="F1288" s="13"/>
      <c r="G1288" s="13">
        <f>C1288</f>
        <v>900</v>
      </c>
    </row>
    <row r="1289" spans="1:7" x14ac:dyDescent="0.3">
      <c r="A1289" t="s">
        <v>728</v>
      </c>
      <c r="C1289" s="13"/>
      <c r="D1289" s="16"/>
      <c r="E1289" s="13"/>
      <c r="F1289" s="13"/>
      <c r="G1289" s="13"/>
    </row>
    <row r="1290" spans="1:7" x14ac:dyDescent="0.3">
      <c r="C1290" s="13"/>
      <c r="D1290" s="39" t="s">
        <v>127</v>
      </c>
      <c r="E1290" s="40"/>
      <c r="F1290" s="40"/>
      <c r="G1290" s="40">
        <f>SUM(G1288:G1289)</f>
        <v>900</v>
      </c>
    </row>
    <row r="1291" spans="1:7" x14ac:dyDescent="0.3">
      <c r="A1291" s="7" t="s">
        <v>62</v>
      </c>
      <c r="C1291" s="13" t="s">
        <v>786</v>
      </c>
      <c r="D1291" s="13" t="s">
        <v>139</v>
      </c>
      <c r="E1291" s="13"/>
      <c r="F1291" s="13"/>
    </row>
    <row r="1292" spans="1:7" x14ac:dyDescent="0.3">
      <c r="A1292" t="s">
        <v>1061</v>
      </c>
      <c r="B1292" t="s">
        <v>1215</v>
      </c>
      <c r="C1292" s="13">
        <v>9</v>
      </c>
      <c r="D1292" s="16">
        <f>30*3</f>
        <v>90</v>
      </c>
      <c r="E1292" s="13">
        <f>C1292*D1292</f>
        <v>810</v>
      </c>
      <c r="F1292" s="13"/>
      <c r="G1292" s="13"/>
    </row>
    <row r="1293" spans="1:7" x14ac:dyDescent="0.3">
      <c r="A1293" t="s">
        <v>1062</v>
      </c>
      <c r="B1293" t="s">
        <v>1215</v>
      </c>
      <c r="C1293" s="13">
        <v>7</v>
      </c>
      <c r="D1293" s="16">
        <f>30*3</f>
        <v>90</v>
      </c>
      <c r="E1293" s="13">
        <f>C1293*D1293</f>
        <v>630</v>
      </c>
      <c r="F1293" s="13"/>
      <c r="G1293" s="13">
        <f>SUM(E1292:E1293)</f>
        <v>1440</v>
      </c>
    </row>
    <row r="1294" spans="1:7" x14ac:dyDescent="0.3">
      <c r="A1294" t="s">
        <v>1063</v>
      </c>
      <c r="B1294" t="s">
        <v>1068</v>
      </c>
      <c r="C1294" s="13">
        <v>10</v>
      </c>
      <c r="D1294" s="16">
        <f>50*3</f>
        <v>150</v>
      </c>
      <c r="E1294" s="13">
        <f>C1294*D1294</f>
        <v>1500</v>
      </c>
      <c r="F1294" s="13"/>
      <c r="G1294" s="13"/>
    </row>
    <row r="1295" spans="1:7" x14ac:dyDescent="0.3">
      <c r="A1295" t="s">
        <v>1064</v>
      </c>
      <c r="B1295" t="s">
        <v>1068</v>
      </c>
      <c r="C1295" s="13">
        <v>0</v>
      </c>
      <c r="D1295" s="16"/>
      <c r="E1295" s="13">
        <f>C1295*D1295</f>
        <v>0</v>
      </c>
      <c r="F1295" s="13"/>
      <c r="G1295" s="13">
        <f>SUM(E1294:E1295)</f>
        <v>1500</v>
      </c>
    </row>
    <row r="1296" spans="1:7" x14ac:dyDescent="0.3">
      <c r="C1296" s="13"/>
      <c r="D1296" s="39" t="s">
        <v>130</v>
      </c>
      <c r="E1296" s="40"/>
      <c r="F1296" s="40"/>
      <c r="G1296" s="40">
        <f>MAX(G1293,G1295)</f>
        <v>1500</v>
      </c>
    </row>
    <row r="1297" spans="1:7" x14ac:dyDescent="0.3">
      <c r="A1297" s="7" t="s">
        <v>63</v>
      </c>
      <c r="C1297" s="13"/>
      <c r="F1297" s="13"/>
    </row>
    <row r="1298" spans="1:7" x14ac:dyDescent="0.3">
      <c r="A1298" t="s">
        <v>1061</v>
      </c>
      <c r="B1298" t="s">
        <v>1067</v>
      </c>
      <c r="C1298" s="13">
        <v>14</v>
      </c>
      <c r="D1298" s="16">
        <f>30*4</f>
        <v>120</v>
      </c>
      <c r="E1298" s="13">
        <f>C1298*D1298</f>
        <v>1680</v>
      </c>
      <c r="F1298" s="13"/>
      <c r="G1298" s="13"/>
    </row>
    <row r="1299" spans="1:7" x14ac:dyDescent="0.3">
      <c r="A1299" t="s">
        <v>1062</v>
      </c>
      <c r="B1299" t="s">
        <v>1067</v>
      </c>
      <c r="C1299" s="13">
        <v>7</v>
      </c>
      <c r="D1299" s="16">
        <f>30*4</f>
        <v>120</v>
      </c>
      <c r="E1299" s="13">
        <f>C1299*D1299</f>
        <v>840</v>
      </c>
      <c r="F1299" s="13"/>
      <c r="G1299" s="13">
        <f>SUM(E1298:E1299)</f>
        <v>2520</v>
      </c>
    </row>
    <row r="1300" spans="1:7" x14ac:dyDescent="0.3">
      <c r="A1300" t="s">
        <v>1063</v>
      </c>
      <c r="B1300" t="s">
        <v>1069</v>
      </c>
      <c r="C1300" s="13">
        <v>9</v>
      </c>
      <c r="D1300" s="16">
        <f>50*3</f>
        <v>150</v>
      </c>
      <c r="E1300" s="13">
        <f>C1300*D1300</f>
        <v>1350</v>
      </c>
      <c r="F1300" s="13"/>
      <c r="G1300" s="13"/>
    </row>
    <row r="1301" spans="1:7" x14ac:dyDescent="0.3">
      <c r="A1301" t="s">
        <v>1064</v>
      </c>
      <c r="B1301" t="s">
        <v>1069</v>
      </c>
      <c r="C1301" s="13">
        <v>7</v>
      </c>
      <c r="D1301" s="16">
        <f>50*3</f>
        <v>150</v>
      </c>
      <c r="E1301" s="13">
        <f>C1301*D1301</f>
        <v>1050</v>
      </c>
      <c r="F1301" s="13"/>
      <c r="G1301" s="13">
        <f>SUM(E1300:E1301)</f>
        <v>2400</v>
      </c>
    </row>
    <row r="1302" spans="1:7" x14ac:dyDescent="0.3">
      <c r="C1302" s="13"/>
      <c r="D1302" s="39" t="s">
        <v>133</v>
      </c>
      <c r="E1302" s="40"/>
      <c r="F1302" s="40"/>
      <c r="G1302" s="40">
        <f>MAX(G1299,G1301)</f>
        <v>2520</v>
      </c>
    </row>
    <row r="1303" spans="1:7" x14ac:dyDescent="0.3">
      <c r="A1303" s="7" t="s">
        <v>64</v>
      </c>
      <c r="C1303" s="13"/>
      <c r="F1303" s="13"/>
    </row>
    <row r="1304" spans="1:7" x14ac:dyDescent="0.3">
      <c r="A1304" t="s">
        <v>1064</v>
      </c>
      <c r="B1304" t="s">
        <v>1070</v>
      </c>
      <c r="C1304" s="13">
        <v>17</v>
      </c>
      <c r="D1304" s="16">
        <f>50*4</f>
        <v>200</v>
      </c>
      <c r="E1304" s="13">
        <f>C1304*D1304</f>
        <v>3400</v>
      </c>
      <c r="F1304" s="13"/>
      <c r="G1304" s="13"/>
    </row>
    <row r="1305" spans="1:7" x14ac:dyDescent="0.3">
      <c r="A1305" t="s">
        <v>1065</v>
      </c>
      <c r="B1305" t="s">
        <v>1070</v>
      </c>
      <c r="C1305" s="13">
        <v>7</v>
      </c>
      <c r="D1305" s="16">
        <f>50*4</f>
        <v>200</v>
      </c>
      <c r="E1305" s="13">
        <f>C1305*D1305</f>
        <v>1400</v>
      </c>
      <c r="F1305" s="13"/>
      <c r="G1305" s="13">
        <f>SUM(E1304:E1305)</f>
        <v>4800</v>
      </c>
    </row>
    <row r="1306" spans="1:7" x14ac:dyDescent="0.3">
      <c r="D1306" s="39" t="s">
        <v>137</v>
      </c>
      <c r="E1306" s="40"/>
      <c r="F1306" s="40"/>
      <c r="G1306" s="40">
        <f>SUM(G1304:G1305)</f>
        <v>4800</v>
      </c>
    </row>
    <row r="1309" spans="1:7" x14ac:dyDescent="0.3">
      <c r="B1309" t="s">
        <v>100</v>
      </c>
      <c r="C1309" s="11"/>
      <c r="D1309" s="12"/>
      <c r="E1309" s="11" t="s">
        <v>1060</v>
      </c>
      <c r="F1309" s="12"/>
      <c r="G1309" s="11"/>
    </row>
    <row r="1310" spans="1:7" x14ac:dyDescent="0.3">
      <c r="A1310" s="7" t="s">
        <v>61</v>
      </c>
      <c r="C1310" s="13" t="s">
        <v>786</v>
      </c>
      <c r="D1310" t="s">
        <v>139</v>
      </c>
      <c r="E1310">
        <f>'Attributes Inputs and Outputs'!$I$8</f>
        <v>2</v>
      </c>
      <c r="G1310" t="s">
        <v>56</v>
      </c>
    </row>
    <row r="1311" spans="1:7" x14ac:dyDescent="0.3">
      <c r="A1311" t="s">
        <v>727</v>
      </c>
      <c r="B1311" t="s">
        <v>1071</v>
      </c>
      <c r="C1311" s="37">
        <v>6</v>
      </c>
      <c r="D1311" s="16">
        <f>35*12+IF($E$1310&gt;0, 15*12*($E$1310-1), 0)</f>
        <v>600</v>
      </c>
      <c r="E1311" s="13"/>
      <c r="F1311" s="13"/>
      <c r="G1311" s="13">
        <f>C1311*D1311</f>
        <v>3600</v>
      </c>
    </row>
    <row r="1312" spans="1:7" x14ac:dyDescent="0.3">
      <c r="C1312" s="13"/>
      <c r="D1312" s="16"/>
      <c r="E1312" s="13"/>
      <c r="F1312" s="13"/>
      <c r="G1312" s="13"/>
    </row>
    <row r="1313" spans="1:7" x14ac:dyDescent="0.3">
      <c r="C1313" s="13"/>
      <c r="D1313" s="39" t="s">
        <v>127</v>
      </c>
      <c r="E1313" s="40"/>
      <c r="F1313" s="40"/>
      <c r="G1313" s="40">
        <f>SUM(G1311:G1312)</f>
        <v>3600</v>
      </c>
    </row>
    <row r="1314" spans="1:7" x14ac:dyDescent="0.3">
      <c r="A1314" s="7" t="s">
        <v>62</v>
      </c>
      <c r="C1314" s="13" t="s">
        <v>786</v>
      </c>
      <c r="D1314" s="13" t="s">
        <v>139</v>
      </c>
      <c r="E1314" s="13"/>
      <c r="F1314" s="13"/>
    </row>
    <row r="1315" spans="1:7" x14ac:dyDescent="0.3">
      <c r="A1315" t="s">
        <v>727</v>
      </c>
      <c r="B1315" t="s">
        <v>1072</v>
      </c>
      <c r="C1315" s="13">
        <v>8</v>
      </c>
      <c r="D1315" s="16">
        <f>35*12+IF($E$1310&gt;0, 15*12*($E$1310-1), 0)</f>
        <v>600</v>
      </c>
      <c r="E1315" s="13">
        <f>C1315*D1315</f>
        <v>4800</v>
      </c>
      <c r="F1315" s="13"/>
      <c r="G1315" s="13">
        <f>C1315*D1315</f>
        <v>4800</v>
      </c>
    </row>
    <row r="1316" spans="1:7" x14ac:dyDescent="0.3">
      <c r="C1316" s="13"/>
      <c r="D1316" s="16"/>
      <c r="E1316" s="13"/>
      <c r="F1316" s="13"/>
      <c r="G1316" s="13"/>
    </row>
    <row r="1317" spans="1:7" x14ac:dyDescent="0.3">
      <c r="C1317" s="13"/>
      <c r="D1317" s="39" t="s">
        <v>130</v>
      </c>
      <c r="E1317" s="40"/>
      <c r="F1317" s="40"/>
      <c r="G1317" s="40">
        <f>SUM(G1315:G1316)</f>
        <v>4800</v>
      </c>
    </row>
    <row r="1318" spans="1:7" x14ac:dyDescent="0.3">
      <c r="A1318" s="7" t="s">
        <v>63</v>
      </c>
      <c r="C1318" s="13"/>
      <c r="F1318" s="13"/>
    </row>
    <row r="1319" spans="1:7" x14ac:dyDescent="0.3">
      <c r="A1319" t="s">
        <v>1064</v>
      </c>
      <c r="B1319" t="s">
        <v>1073</v>
      </c>
      <c r="C1319" s="13">
        <v>9</v>
      </c>
      <c r="D1319" s="16">
        <f>35*12+IF($E$1310&gt;0, 15*12*($E$1310-1), 0)</f>
        <v>600</v>
      </c>
      <c r="E1319" s="13">
        <f>C1319*D1319</f>
        <v>5400</v>
      </c>
      <c r="F1319" s="13"/>
      <c r="G1319" s="13"/>
    </row>
    <row r="1320" spans="1:7" x14ac:dyDescent="0.3">
      <c r="A1320" t="s">
        <v>728</v>
      </c>
      <c r="B1320" t="s">
        <v>1073</v>
      </c>
      <c r="C1320" s="13">
        <v>7</v>
      </c>
      <c r="D1320" s="16">
        <f>35*12+IF($E$1310&gt;0, 15*12*($E$1310-1), 0)</f>
        <v>600</v>
      </c>
      <c r="E1320" s="13">
        <f>C1320*D1320</f>
        <v>4200</v>
      </c>
      <c r="F1320" s="13"/>
      <c r="G1320" s="13">
        <f>SUM(E1319:E1320)</f>
        <v>9600</v>
      </c>
    </row>
    <row r="1321" spans="1:7" x14ac:dyDescent="0.3">
      <c r="C1321" s="13"/>
      <c r="D1321" s="39" t="s">
        <v>133</v>
      </c>
      <c r="E1321" s="40"/>
      <c r="F1321" s="40"/>
      <c r="G1321" s="40">
        <f>SUM(G1319:G1320)</f>
        <v>9600</v>
      </c>
    </row>
    <row r="1322" spans="1:7" x14ac:dyDescent="0.3">
      <c r="A1322" s="7" t="s">
        <v>64</v>
      </c>
      <c r="C1322" s="13"/>
      <c r="F1322" s="13"/>
    </row>
    <row r="1323" spans="1:7" x14ac:dyDescent="0.3">
      <c r="A1323" t="s">
        <v>727</v>
      </c>
      <c r="B1323" t="s">
        <v>1074</v>
      </c>
      <c r="C1323" s="13">
        <v>13</v>
      </c>
      <c r="D1323" s="16">
        <f>35*12+IF($E$1310&gt;0, 15*12*($E$1310-1), 0)</f>
        <v>600</v>
      </c>
      <c r="E1323" s="13">
        <f>C1323*D1323</f>
        <v>7800</v>
      </c>
      <c r="F1323" s="13"/>
      <c r="G1323" s="13"/>
    </row>
    <row r="1324" spans="1:7" x14ac:dyDescent="0.3">
      <c r="A1324" t="s">
        <v>728</v>
      </c>
      <c r="B1324" t="s">
        <v>1074</v>
      </c>
      <c r="C1324" s="13">
        <v>7</v>
      </c>
      <c r="D1324" s="16">
        <f>35*12+IF($E$1310&gt;0, 15*12*($E$1310-1), 0)</f>
        <v>600</v>
      </c>
      <c r="E1324" s="13">
        <f>C1324*D1324</f>
        <v>4200</v>
      </c>
      <c r="F1324" s="13"/>
      <c r="G1324" s="13">
        <f>SUM(E1323:E1324)</f>
        <v>12000</v>
      </c>
    </row>
    <row r="1325" spans="1:7" x14ac:dyDescent="0.3">
      <c r="D1325" s="39" t="s">
        <v>137</v>
      </c>
      <c r="E1325" s="40"/>
      <c r="F1325" s="40"/>
      <c r="G1325" s="40">
        <f>SUM(G1323:G1324)</f>
        <v>12000</v>
      </c>
    </row>
    <row r="1328" spans="1:7" x14ac:dyDescent="0.3">
      <c r="E1328" s="11" t="s">
        <v>1060</v>
      </c>
    </row>
    <row r="1329" spans="1:7" x14ac:dyDescent="0.3">
      <c r="B1329" t="s">
        <v>99</v>
      </c>
      <c r="C1329" s="11"/>
      <c r="E1329">
        <f>'Attributes Inputs and Outputs'!$I$8</f>
        <v>2</v>
      </c>
      <c r="F1329" s="13"/>
    </row>
    <row r="1330" spans="1:7" x14ac:dyDescent="0.3">
      <c r="A1330" s="7" t="s">
        <v>61</v>
      </c>
      <c r="C1330" t="s">
        <v>880</v>
      </c>
      <c r="D1330" t="s">
        <v>879</v>
      </c>
      <c r="G1330" t="s">
        <v>56</v>
      </c>
    </row>
    <row r="1331" spans="1:7" x14ac:dyDescent="0.3">
      <c r="A1331" t="s">
        <v>1077</v>
      </c>
      <c r="B1331" t="s">
        <v>1082</v>
      </c>
      <c r="C1331" s="37">
        <v>0.2</v>
      </c>
      <c r="D1331">
        <f>43000/4</f>
        <v>10750</v>
      </c>
      <c r="E1331" s="13">
        <f>C1331*D1331</f>
        <v>2150</v>
      </c>
      <c r="F1331" s="13"/>
      <c r="G1331" s="51">
        <f>E1331</f>
        <v>2150</v>
      </c>
    </row>
    <row r="1332" spans="1:7" x14ac:dyDescent="0.3">
      <c r="A1332" t="s">
        <v>1078</v>
      </c>
      <c r="B1332" t="s">
        <v>1076</v>
      </c>
      <c r="C1332" s="13">
        <v>200</v>
      </c>
      <c r="D1332">
        <v>2</v>
      </c>
      <c r="E1332" s="13">
        <f>C1332*D1332</f>
        <v>400</v>
      </c>
      <c r="G1332" s="51">
        <f>E1332</f>
        <v>400</v>
      </c>
    </row>
    <row r="1333" spans="1:7" x14ac:dyDescent="0.3">
      <c r="A1333" t="s">
        <v>1079</v>
      </c>
      <c r="B1333" t="s">
        <v>1085</v>
      </c>
      <c r="C1333" s="13">
        <f>40*10+4*75</f>
        <v>700</v>
      </c>
      <c r="D1333">
        <v>1</v>
      </c>
      <c r="E1333" s="13">
        <f>C1333*D1333</f>
        <v>700</v>
      </c>
      <c r="G1333" s="51">
        <f>E1333</f>
        <v>700</v>
      </c>
    </row>
    <row r="1334" spans="1:7" x14ac:dyDescent="0.3">
      <c r="A1334" t="s">
        <v>1080</v>
      </c>
      <c r="B1334" t="s">
        <v>1081</v>
      </c>
      <c r="C1334" s="13">
        <v>1</v>
      </c>
      <c r="D1334">
        <v>100</v>
      </c>
      <c r="E1334" s="13">
        <f>C1334*D1334</f>
        <v>100</v>
      </c>
      <c r="G1334" s="51">
        <f>E1334</f>
        <v>100</v>
      </c>
    </row>
    <row r="1335" spans="1:7" x14ac:dyDescent="0.3">
      <c r="D1335" s="39" t="s">
        <v>127</v>
      </c>
      <c r="E1335" s="40"/>
      <c r="F1335" s="40"/>
      <c r="G1335" s="40">
        <f>SUM(G1331:G1334)</f>
        <v>3350</v>
      </c>
    </row>
    <row r="1336" spans="1:7" x14ac:dyDescent="0.3">
      <c r="A1336" s="7" t="s">
        <v>62</v>
      </c>
      <c r="C1336" s="13"/>
      <c r="F1336" s="13"/>
      <c r="G1336" t="s">
        <v>56</v>
      </c>
    </row>
    <row r="1337" spans="1:7" x14ac:dyDescent="0.3">
      <c r="A1337" t="s">
        <v>1077</v>
      </c>
      <c r="B1337" t="s">
        <v>1083</v>
      </c>
      <c r="C1337" s="37">
        <v>1</v>
      </c>
      <c r="D1337">
        <f>43000/4</f>
        <v>10750</v>
      </c>
      <c r="E1337" s="13">
        <f>C1337*D1337</f>
        <v>10750</v>
      </c>
      <c r="F1337" s="13"/>
      <c r="G1337" s="51">
        <f>E1337</f>
        <v>10750</v>
      </c>
    </row>
    <row r="1338" spans="1:7" x14ac:dyDescent="0.3">
      <c r="A1338" t="s">
        <v>1078</v>
      </c>
      <c r="B1338" t="s">
        <v>1084</v>
      </c>
      <c r="C1338" s="13">
        <v>200</v>
      </c>
      <c r="D1338">
        <v>4</v>
      </c>
      <c r="E1338" s="13">
        <f>C1338*D1338</f>
        <v>800</v>
      </c>
      <c r="G1338" s="51">
        <f>E1338</f>
        <v>800</v>
      </c>
    </row>
    <row r="1339" spans="1:7" x14ac:dyDescent="0.3">
      <c r="A1339" t="s">
        <v>1079</v>
      </c>
      <c r="B1339" t="s">
        <v>1086</v>
      </c>
      <c r="C1339" s="13">
        <f>40*20+6*75</f>
        <v>1250</v>
      </c>
      <c r="D1339">
        <v>1</v>
      </c>
      <c r="E1339" s="13">
        <f>C1339*D1339</f>
        <v>1250</v>
      </c>
      <c r="G1339" s="51">
        <f>E1339</f>
        <v>1250</v>
      </c>
    </row>
    <row r="1340" spans="1:7" x14ac:dyDescent="0.3">
      <c r="A1340" t="s">
        <v>1080</v>
      </c>
      <c r="B1340" t="s">
        <v>1087</v>
      </c>
      <c r="C1340" s="37">
        <v>1</v>
      </c>
      <c r="D1340">
        <v>200</v>
      </c>
      <c r="E1340" s="13">
        <f>C1340*D1340</f>
        <v>200</v>
      </c>
      <c r="G1340" s="51">
        <f>E1340</f>
        <v>200</v>
      </c>
    </row>
    <row r="1341" spans="1:7" x14ac:dyDescent="0.3">
      <c r="D1341" s="39" t="s">
        <v>130</v>
      </c>
      <c r="E1341" s="65"/>
      <c r="F1341" s="40"/>
      <c r="G1341" s="40">
        <f>SUM(G1337:G1340)</f>
        <v>13000</v>
      </c>
    </row>
    <row r="1342" spans="1:7" x14ac:dyDescent="0.3">
      <c r="A1342" s="7" t="s">
        <v>63</v>
      </c>
      <c r="F1342" s="13"/>
      <c r="G1342" t="s">
        <v>56</v>
      </c>
    </row>
    <row r="1343" spans="1:7" x14ac:dyDescent="0.3">
      <c r="A1343" t="s">
        <v>1077</v>
      </c>
      <c r="B1343" t="s">
        <v>1088</v>
      </c>
      <c r="C1343" s="37">
        <v>1</v>
      </c>
      <c r="D1343">
        <f>43000/2</f>
        <v>21500</v>
      </c>
      <c r="E1343" s="13">
        <f>C1343*D1343</f>
        <v>21500</v>
      </c>
      <c r="F1343" s="13"/>
      <c r="G1343" s="51">
        <f>E1343</f>
        <v>21500</v>
      </c>
    </row>
    <row r="1344" spans="1:7" x14ac:dyDescent="0.3">
      <c r="A1344" t="s">
        <v>1078</v>
      </c>
      <c r="B1344" t="s">
        <v>1091</v>
      </c>
      <c r="C1344" s="13">
        <v>350</v>
      </c>
      <c r="D1344">
        <v>6</v>
      </c>
      <c r="E1344" s="13">
        <f>C1344*D1344</f>
        <v>2100</v>
      </c>
      <c r="G1344" s="51">
        <f>E1344</f>
        <v>2100</v>
      </c>
    </row>
    <row r="1345" spans="1:7" x14ac:dyDescent="0.3">
      <c r="A1345" t="s">
        <v>1079</v>
      </c>
      <c r="B1345" t="s">
        <v>1089</v>
      </c>
      <c r="C1345" s="13">
        <f>60*20+6*100</f>
        <v>1800</v>
      </c>
      <c r="D1345">
        <v>1</v>
      </c>
      <c r="E1345" s="13">
        <f>C1345*D1345</f>
        <v>1800</v>
      </c>
      <c r="G1345" s="51">
        <f>E1345</f>
        <v>1800</v>
      </c>
    </row>
    <row r="1346" spans="1:7" x14ac:dyDescent="0.3">
      <c r="A1346" t="s">
        <v>1080</v>
      </c>
      <c r="B1346" t="s">
        <v>1090</v>
      </c>
      <c r="C1346" s="37">
        <v>1.5</v>
      </c>
      <c r="D1346">
        <v>200</v>
      </c>
      <c r="E1346" s="13">
        <f>C1346*D1346</f>
        <v>300</v>
      </c>
      <c r="G1346" s="51">
        <f>E1346</f>
        <v>300</v>
      </c>
    </row>
    <row r="1347" spans="1:7" x14ac:dyDescent="0.3">
      <c r="C1347" s="13"/>
      <c r="D1347" s="39" t="s">
        <v>133</v>
      </c>
      <c r="E1347" s="65"/>
      <c r="F1347" s="40"/>
      <c r="G1347" s="40">
        <f>SUM(G1343:G1346)</f>
        <v>25700</v>
      </c>
    </row>
    <row r="1348" spans="1:7" x14ac:dyDescent="0.3">
      <c r="A1348" s="7" t="s">
        <v>64</v>
      </c>
      <c r="C1348" s="13"/>
      <c r="F1348" s="13"/>
      <c r="G1348" t="s">
        <v>56</v>
      </c>
    </row>
    <row r="1349" spans="1:7" x14ac:dyDescent="0.3">
      <c r="A1349" t="s">
        <v>1077</v>
      </c>
      <c r="B1349" t="s">
        <v>1088</v>
      </c>
      <c r="C1349" s="37">
        <v>1</v>
      </c>
      <c r="D1349">
        <f>43000/2</f>
        <v>21500</v>
      </c>
      <c r="E1349" s="13">
        <f>C1349*D1349</f>
        <v>21500</v>
      </c>
      <c r="F1349" s="13"/>
      <c r="G1349" s="51">
        <f>E1349</f>
        <v>21500</v>
      </c>
    </row>
    <row r="1350" spans="1:7" x14ac:dyDescent="0.3">
      <c r="A1350" t="s">
        <v>1078</v>
      </c>
      <c r="B1350" t="s">
        <v>1093</v>
      </c>
      <c r="C1350" s="13">
        <v>600</v>
      </c>
      <c r="D1350">
        <v>12</v>
      </c>
      <c r="E1350" s="13">
        <f>C1350*D1350</f>
        <v>7200</v>
      </c>
      <c r="G1350" s="51">
        <f>E1350</f>
        <v>7200</v>
      </c>
    </row>
    <row r="1351" spans="1:7" x14ac:dyDescent="0.3">
      <c r="A1351" t="s">
        <v>1079</v>
      </c>
      <c r="B1351" t="s">
        <v>1094</v>
      </c>
      <c r="C1351" s="13">
        <f>100*40+6*150</f>
        <v>4900</v>
      </c>
      <c r="D1351">
        <v>1</v>
      </c>
      <c r="E1351" s="13">
        <f>C1351*D1351</f>
        <v>4900</v>
      </c>
      <c r="G1351" s="51">
        <f>E1351</f>
        <v>4900</v>
      </c>
    </row>
    <row r="1352" spans="1:7" x14ac:dyDescent="0.3">
      <c r="A1352" t="s">
        <v>1080</v>
      </c>
      <c r="B1352" t="s">
        <v>1092</v>
      </c>
      <c r="C1352" s="37">
        <v>1.5</v>
      </c>
      <c r="D1352">
        <v>300</v>
      </c>
      <c r="E1352" s="13">
        <f>C1352*D1352</f>
        <v>450</v>
      </c>
      <c r="G1352" s="51">
        <f>E1352</f>
        <v>450</v>
      </c>
    </row>
    <row r="1353" spans="1:7" x14ac:dyDescent="0.3">
      <c r="D1353" s="39" t="s">
        <v>137</v>
      </c>
      <c r="E1353" s="65"/>
      <c r="F1353" s="40"/>
      <c r="G1353" s="40">
        <f>SUM(G1349:G1352)</f>
        <v>34050</v>
      </c>
    </row>
    <row r="1355" spans="1:7" x14ac:dyDescent="0.3">
      <c r="E1355" s="11" t="s">
        <v>782</v>
      </c>
    </row>
    <row r="1356" spans="1:7" x14ac:dyDescent="0.3">
      <c r="B1356" s="42" t="s">
        <v>91</v>
      </c>
      <c r="C1356" s="11"/>
      <c r="E1356">
        <f>'Attributes Back Calcs'!$G$10</f>
        <v>2299</v>
      </c>
      <c r="F1356" s="13"/>
    </row>
    <row r="1357" spans="1:7" x14ac:dyDescent="0.3">
      <c r="A1357" s="7" t="s">
        <v>61</v>
      </c>
      <c r="C1357" t="s">
        <v>1099</v>
      </c>
      <c r="F1357" t="s">
        <v>56</v>
      </c>
      <c r="G1357" t="s">
        <v>860</v>
      </c>
    </row>
    <row r="1358" spans="1:7" x14ac:dyDescent="0.3">
      <c r="A1358" t="s">
        <v>1095</v>
      </c>
      <c r="B1358" t="s">
        <v>1097</v>
      </c>
      <c r="C1358" s="37">
        <f>8000/(41*29*2)</f>
        <v>3.3641715727502102</v>
      </c>
      <c r="E1358" s="13"/>
      <c r="F1358" s="51">
        <f>C1358*$E$1356</f>
        <v>7734.2304457527334</v>
      </c>
      <c r="G1358" s="13">
        <f>F1358*(1+(IF('Attributes Inputs and Outputs'!$O$8=Inputs!$C$44,Inputs!$C$45,IF('Attributes Inputs and Outputs'!$O$8=Inputs!$D$44,Inputs!$D$45,IF('Attributes Inputs and Outputs'!$O$8=Inputs!$E$44,Inputs!$E$45,IF('Attributes Inputs and Outputs'!$O$8=Inputs!$F$44,Inputs!$F$45,Inputs!$G$45))))))</f>
        <v>7734.2304457527334</v>
      </c>
    </row>
    <row r="1359" spans="1:7" x14ac:dyDescent="0.3">
      <c r="A1359" t="s">
        <v>1096</v>
      </c>
      <c r="B1359" t="s">
        <v>1098</v>
      </c>
      <c r="C1359" s="37">
        <f>3000/(41*29*2)</f>
        <v>1.2615643397813288</v>
      </c>
      <c r="E1359" s="13"/>
      <c r="F1359" s="51">
        <f>C1359*$E$1356</f>
        <v>2900.3364171572748</v>
      </c>
      <c r="G1359" s="13">
        <f>F1359*(1+(IF('Attributes Inputs and Outputs'!$O$8=Inputs!$C$44,Inputs!$C$45,IF('Attributes Inputs and Outputs'!$O$8=Inputs!$D$44,Inputs!$D$45,IF('Attributes Inputs and Outputs'!$O$8=Inputs!$E$44,Inputs!$E$45,IF('Attributes Inputs and Outputs'!$O$8=Inputs!$F$44,Inputs!$F$45,Inputs!$G$45))))))</f>
        <v>2900.3364171572748</v>
      </c>
    </row>
    <row r="1360" spans="1:7" x14ac:dyDescent="0.3">
      <c r="A1360" t="s">
        <v>1100</v>
      </c>
      <c r="B1360" t="s">
        <v>342</v>
      </c>
      <c r="C1360" s="13">
        <v>2</v>
      </c>
      <c r="E1360" s="13"/>
      <c r="F1360" s="51">
        <f>C1360*$E$1356</f>
        <v>4598</v>
      </c>
      <c r="G1360" s="13">
        <f>F1360*(1+(IF('Attributes Inputs and Outputs'!$O$8=Inputs!$C$44,Inputs!$C$45,IF('Attributes Inputs and Outputs'!$O$8=Inputs!$D$44,Inputs!$D$45,IF('Attributes Inputs and Outputs'!$O$8=Inputs!$E$44,Inputs!$E$45,IF('Attributes Inputs and Outputs'!$O$8=Inputs!$F$44,Inputs!$F$45,Inputs!$G$45))))))</f>
        <v>4598</v>
      </c>
    </row>
    <row r="1361" spans="1:7" x14ac:dyDescent="0.3">
      <c r="A1361" t="s">
        <v>1101</v>
      </c>
      <c r="B1361" t="s">
        <v>1102</v>
      </c>
      <c r="C1361" s="13">
        <v>1</v>
      </c>
      <c r="E1361" s="13"/>
      <c r="F1361" s="51">
        <f>C1361*$E$1356</f>
        <v>2299</v>
      </c>
      <c r="G1361" s="13">
        <f>F1361*(1+(IF('Attributes Inputs and Outputs'!$O$8=Inputs!$C$44,Inputs!$C$45,IF('Attributes Inputs and Outputs'!$O$8=Inputs!$D$44,Inputs!$D$45,IF('Attributes Inputs and Outputs'!$O$8=Inputs!$E$44,Inputs!$E$45,IF('Attributes Inputs and Outputs'!$O$8=Inputs!$F$44,Inputs!$F$45,Inputs!$G$45))))))</f>
        <v>2299</v>
      </c>
    </row>
    <row r="1362" spans="1:7" x14ac:dyDescent="0.3">
      <c r="D1362" s="39" t="s">
        <v>127</v>
      </c>
      <c r="E1362" s="40"/>
      <c r="F1362" s="40">
        <f>SUM(F1358:F1361)</f>
        <v>17531.566862910007</v>
      </c>
      <c r="G1362" s="40">
        <f>SUM(G1358:G1361)</f>
        <v>17531.566862910007</v>
      </c>
    </row>
    <row r="1363" spans="1:7" x14ac:dyDescent="0.3">
      <c r="A1363" s="7" t="s">
        <v>62</v>
      </c>
      <c r="C1363" s="13"/>
    </row>
    <row r="1364" spans="1:7" x14ac:dyDescent="0.3">
      <c r="A1364" t="s">
        <v>1095</v>
      </c>
      <c r="B1364" t="s">
        <v>1103</v>
      </c>
      <c r="C1364" s="37">
        <f>15000/(41*29*2)</f>
        <v>6.3078216989066442</v>
      </c>
      <c r="E1364" s="13"/>
      <c r="F1364" s="51">
        <f>C1364*$E$1356</f>
        <v>14501.682085786375</v>
      </c>
      <c r="G1364" s="13">
        <f>F1364*(1+(IF('Attributes Inputs and Outputs'!$O$8=Inputs!$C$44,Inputs!$C$45,IF('Attributes Inputs and Outputs'!$O$8=Inputs!$D$44,Inputs!$D$45,IF('Attributes Inputs and Outputs'!$O$8=Inputs!$E$44,Inputs!$E$45,IF('Attributes Inputs and Outputs'!$O$8=Inputs!$F$44,Inputs!$F$45,Inputs!$G$45))))))</f>
        <v>14501.682085786375</v>
      </c>
    </row>
    <row r="1365" spans="1:7" x14ac:dyDescent="0.3">
      <c r="A1365" t="s">
        <v>1096</v>
      </c>
      <c r="B1365" t="s">
        <v>1104</v>
      </c>
      <c r="C1365" s="37">
        <f>3000/(41*29*2)</f>
        <v>1.2615643397813288</v>
      </c>
      <c r="E1365" s="13"/>
      <c r="F1365" s="51">
        <f>C1365*$E$1356</f>
        <v>2900.3364171572748</v>
      </c>
      <c r="G1365" s="13">
        <f>F1365*(1+(IF('Attributes Inputs and Outputs'!$O$8=Inputs!$C$44,Inputs!$C$45,IF('Attributes Inputs and Outputs'!$O$8=Inputs!$D$44,Inputs!$D$45,IF('Attributes Inputs and Outputs'!$O$8=Inputs!$E$44,Inputs!$E$45,IF('Attributes Inputs and Outputs'!$O$8=Inputs!$F$44,Inputs!$F$45,Inputs!$G$45))))))</f>
        <v>2900.3364171572748</v>
      </c>
    </row>
    <row r="1366" spans="1:7" x14ac:dyDescent="0.3">
      <c r="A1366" t="s">
        <v>1100</v>
      </c>
      <c r="B1366" t="s">
        <v>1106</v>
      </c>
      <c r="C1366" s="37">
        <v>2.5</v>
      </c>
      <c r="E1366" s="13"/>
      <c r="F1366" s="51">
        <f>C1366*$E$1356</f>
        <v>5747.5</v>
      </c>
      <c r="G1366" s="13">
        <f>F1366*(1+(IF('Attributes Inputs and Outputs'!$O$8=Inputs!$C$44,Inputs!$C$45,IF('Attributes Inputs and Outputs'!$O$8=Inputs!$D$44,Inputs!$D$45,IF('Attributes Inputs and Outputs'!$O$8=Inputs!$E$44,Inputs!$E$45,IF('Attributes Inputs and Outputs'!$O$8=Inputs!$F$44,Inputs!$F$45,Inputs!$G$45))))))</f>
        <v>5747.5</v>
      </c>
    </row>
    <row r="1367" spans="1:7" x14ac:dyDescent="0.3">
      <c r="A1367" t="s">
        <v>1101</v>
      </c>
      <c r="B1367" t="s">
        <v>1105</v>
      </c>
      <c r="C1367" s="37">
        <v>1.2</v>
      </c>
      <c r="E1367" s="13"/>
      <c r="F1367" s="51">
        <f>C1367*$E$1356</f>
        <v>2758.7999999999997</v>
      </c>
      <c r="G1367" s="13">
        <f>F1367*(1+(IF('Attributes Inputs and Outputs'!$O$8=Inputs!$C$44,Inputs!$C$45,IF('Attributes Inputs and Outputs'!$O$8=Inputs!$D$44,Inputs!$D$45,IF('Attributes Inputs and Outputs'!$O$8=Inputs!$E$44,Inputs!$E$45,IF('Attributes Inputs and Outputs'!$O$8=Inputs!$F$44,Inputs!$F$45,Inputs!$G$45))))))</f>
        <v>2758.7999999999997</v>
      </c>
    </row>
    <row r="1368" spans="1:7" x14ac:dyDescent="0.3">
      <c r="D1368" s="39" t="s">
        <v>130</v>
      </c>
      <c r="E1368" s="65"/>
      <c r="F1368" s="40">
        <f>SUM(F1364:F1367)</f>
        <v>25908.31850294365</v>
      </c>
      <c r="G1368" s="40">
        <f>SUM(G1364:G1367)</f>
        <v>25908.31850294365</v>
      </c>
    </row>
    <row r="1369" spans="1:7" x14ac:dyDescent="0.3">
      <c r="A1369" s="7" t="s">
        <v>63</v>
      </c>
    </row>
    <row r="1370" spans="1:7" x14ac:dyDescent="0.3">
      <c r="A1370" t="s">
        <v>1095</v>
      </c>
      <c r="B1370" t="s">
        <v>1107</v>
      </c>
      <c r="C1370" s="37">
        <f>20000/(41*29*2)</f>
        <v>8.4104289318755256</v>
      </c>
      <c r="E1370" s="13"/>
      <c r="F1370" s="51">
        <f>C1370*$E$1356</f>
        <v>19335.576114381834</v>
      </c>
      <c r="G1370" s="13">
        <f>F1370*(1+(IF('Attributes Inputs and Outputs'!$O$8=Inputs!$C$44,Inputs!$C$45,IF('Attributes Inputs and Outputs'!$O$8=Inputs!$D$44,Inputs!$D$45,IF('Attributes Inputs and Outputs'!$O$8=Inputs!$E$44,Inputs!$E$45,IF('Attributes Inputs and Outputs'!$O$8=Inputs!$F$44,Inputs!$F$45,Inputs!$G$45))))))</f>
        <v>19335.576114381834</v>
      </c>
    </row>
    <row r="1371" spans="1:7" x14ac:dyDescent="0.3">
      <c r="A1371" t="s">
        <v>1096</v>
      </c>
      <c r="B1371" t="s">
        <v>1110</v>
      </c>
      <c r="C1371" s="37">
        <f>3500/(41*29*2)</f>
        <v>1.471825063078217</v>
      </c>
      <c r="E1371" s="13"/>
      <c r="F1371" s="51">
        <f>C1371*$E$1356</f>
        <v>3383.7258200168208</v>
      </c>
      <c r="G1371" s="13">
        <f>F1371*(1+(IF('Attributes Inputs and Outputs'!$O$8=Inputs!$C$44,Inputs!$C$45,IF('Attributes Inputs and Outputs'!$O$8=Inputs!$D$44,Inputs!$D$45,IF('Attributes Inputs and Outputs'!$O$8=Inputs!$E$44,Inputs!$E$45,IF('Attributes Inputs and Outputs'!$O$8=Inputs!$F$44,Inputs!$F$45,Inputs!$G$45))))))</f>
        <v>3383.7258200168208</v>
      </c>
    </row>
    <row r="1372" spans="1:7" x14ac:dyDescent="0.3">
      <c r="A1372" t="s">
        <v>1100</v>
      </c>
      <c r="B1372" t="s">
        <v>1108</v>
      </c>
      <c r="C1372" s="37">
        <v>3</v>
      </c>
      <c r="E1372" s="13"/>
      <c r="F1372" s="51">
        <f>C1372*$E$1356</f>
        <v>6897</v>
      </c>
      <c r="G1372" s="13">
        <f>F1372*(1+(IF('Attributes Inputs and Outputs'!$O$8=Inputs!$C$44,Inputs!$C$45,IF('Attributes Inputs and Outputs'!$O$8=Inputs!$D$44,Inputs!$D$45,IF('Attributes Inputs and Outputs'!$O$8=Inputs!$E$44,Inputs!$E$45,IF('Attributes Inputs and Outputs'!$O$8=Inputs!$F$44,Inputs!$F$45,Inputs!$G$45))))))</f>
        <v>6897</v>
      </c>
    </row>
    <row r="1373" spans="1:7" x14ac:dyDescent="0.3">
      <c r="A1373" t="s">
        <v>1101</v>
      </c>
      <c r="B1373" t="s">
        <v>1109</v>
      </c>
      <c r="C1373" s="37">
        <v>1.7</v>
      </c>
      <c r="E1373" s="13"/>
      <c r="F1373" s="51">
        <f>C1373*$E$1356</f>
        <v>3908.2999999999997</v>
      </c>
      <c r="G1373" s="13">
        <f>F1373*(1+(IF('Attributes Inputs and Outputs'!$O$8=Inputs!$C$44,Inputs!$C$45,IF('Attributes Inputs and Outputs'!$O$8=Inputs!$D$44,Inputs!$D$45,IF('Attributes Inputs and Outputs'!$O$8=Inputs!$E$44,Inputs!$E$45,IF('Attributes Inputs and Outputs'!$O$8=Inputs!$F$44,Inputs!$F$45,Inputs!$G$45))))))</f>
        <v>3908.2999999999997</v>
      </c>
    </row>
    <row r="1374" spans="1:7" x14ac:dyDescent="0.3">
      <c r="C1374" s="13"/>
      <c r="D1374" s="39" t="s">
        <v>133</v>
      </c>
      <c r="E1374" s="65"/>
      <c r="F1374" s="40">
        <f>SUM(F1370:F1373)</f>
        <v>33524.601934398655</v>
      </c>
      <c r="G1374" s="40">
        <f>SUM(G1370:G1373)</f>
        <v>33524.601934398655</v>
      </c>
    </row>
    <row r="1375" spans="1:7" x14ac:dyDescent="0.3">
      <c r="A1375" s="7" t="s">
        <v>64</v>
      </c>
      <c r="C1375" s="13"/>
    </row>
    <row r="1376" spans="1:7" x14ac:dyDescent="0.3">
      <c r="A1376" t="s">
        <v>1095</v>
      </c>
      <c r="B1376" t="s">
        <v>1107</v>
      </c>
      <c r="C1376" s="37">
        <f>20000/(41*29*2)</f>
        <v>8.4104289318755256</v>
      </c>
      <c r="E1376" s="13"/>
      <c r="F1376" s="51">
        <f>C1376*$E$1356</f>
        <v>19335.576114381834</v>
      </c>
      <c r="G1376" s="13">
        <f>F1376*(1+(IF('Attributes Inputs and Outputs'!$O$8=Inputs!$C$44,Inputs!$C$45,IF('Attributes Inputs and Outputs'!$O$8=Inputs!$D$44,Inputs!$D$45,IF('Attributes Inputs and Outputs'!$O$8=Inputs!$E$44,Inputs!$E$45,IF('Attributes Inputs and Outputs'!$O$8=Inputs!$F$44,Inputs!$F$45,Inputs!$G$45))))))</f>
        <v>19335.576114381834</v>
      </c>
    </row>
    <row r="1377" spans="1:7" x14ac:dyDescent="0.3">
      <c r="A1377" t="s">
        <v>1096</v>
      </c>
      <c r="B1377" t="s">
        <v>1111</v>
      </c>
      <c r="C1377" s="37">
        <v>0</v>
      </c>
      <c r="E1377" s="13"/>
      <c r="F1377" s="51">
        <f>C1377*$E$1356</f>
        <v>0</v>
      </c>
      <c r="G1377" s="13">
        <f>F1377*(1+(IF('Attributes Inputs and Outputs'!$O$8=Inputs!$C$44,Inputs!$C$45,IF('Attributes Inputs and Outputs'!$O$8=Inputs!$D$44,Inputs!$D$45,IF('Attributes Inputs and Outputs'!$O$8=Inputs!$E$44,Inputs!$E$45,IF('Attributes Inputs and Outputs'!$O$8=Inputs!$F$44,Inputs!$F$45,Inputs!$G$45))))))</f>
        <v>0</v>
      </c>
    </row>
    <row r="1378" spans="1:7" x14ac:dyDescent="0.3">
      <c r="A1378" t="s">
        <v>1100</v>
      </c>
      <c r="B1378" t="s">
        <v>1111</v>
      </c>
      <c r="C1378" s="37">
        <v>8</v>
      </c>
      <c r="E1378" s="13"/>
      <c r="F1378" s="51">
        <f>C1378*$E$1356</f>
        <v>18392</v>
      </c>
      <c r="G1378" s="13">
        <f>F1378*(1+(IF('Attributes Inputs and Outputs'!$O$8=Inputs!$C$44,Inputs!$C$45,IF('Attributes Inputs and Outputs'!$O$8=Inputs!$D$44,Inputs!$D$45,IF('Attributes Inputs and Outputs'!$O$8=Inputs!$E$44,Inputs!$E$45,IF('Attributes Inputs and Outputs'!$O$8=Inputs!$F$44,Inputs!$F$45,Inputs!$G$45))))))</f>
        <v>18392</v>
      </c>
    </row>
    <row r="1379" spans="1:7" x14ac:dyDescent="0.3">
      <c r="A1379" t="s">
        <v>1101</v>
      </c>
      <c r="B1379" t="s">
        <v>1109</v>
      </c>
      <c r="C1379" s="37">
        <v>1.7</v>
      </c>
      <c r="E1379" s="13"/>
      <c r="F1379" s="51">
        <f>C1379*$E$1356</f>
        <v>3908.2999999999997</v>
      </c>
      <c r="G1379" s="13">
        <f>F1379*(1+(IF('Attributes Inputs and Outputs'!$O$8=Inputs!$C$44,Inputs!$C$45,IF('Attributes Inputs and Outputs'!$O$8=Inputs!$D$44,Inputs!$D$45,IF('Attributes Inputs and Outputs'!$O$8=Inputs!$E$44,Inputs!$E$45,IF('Attributes Inputs and Outputs'!$O$8=Inputs!$F$44,Inputs!$F$45,Inputs!$G$45))))))</f>
        <v>3908.2999999999997</v>
      </c>
    </row>
    <row r="1380" spans="1:7" x14ac:dyDescent="0.3">
      <c r="B1380" s="42"/>
      <c r="D1380" s="39" t="s">
        <v>137</v>
      </c>
      <c r="E1380" s="65"/>
      <c r="F1380" s="40">
        <f>SUM(F1376:F1379)</f>
        <v>41635.876114381841</v>
      </c>
      <c r="G1380" s="40">
        <f>SUM(G1376:G1379)</f>
        <v>41635.876114381841</v>
      </c>
    </row>
    <row r="1384" spans="1:7" x14ac:dyDescent="0.3">
      <c r="B1384" t="s">
        <v>29</v>
      </c>
      <c r="C1384" s="11"/>
      <c r="D1384" s="12"/>
      <c r="E1384" t="s">
        <v>1138</v>
      </c>
      <c r="F1384" s="12"/>
      <c r="G1384" s="11"/>
    </row>
    <row r="1385" spans="1:7" x14ac:dyDescent="0.3">
      <c r="A1385" s="7" t="s">
        <v>61</v>
      </c>
      <c r="C1385" s="13" t="s">
        <v>786</v>
      </c>
      <c r="E1385" s="11">
        <f>'Attributes Back Calcs'!G12</f>
        <v>2299</v>
      </c>
      <c r="G1385" t="s">
        <v>56</v>
      </c>
    </row>
    <row r="1386" spans="1:7" x14ac:dyDescent="0.3">
      <c r="A1386" t="s">
        <v>1137</v>
      </c>
      <c r="C1386" s="13">
        <v>5</v>
      </c>
      <c r="D1386" s="16"/>
      <c r="E1386" s="13"/>
      <c r="F1386" s="13"/>
      <c r="G1386" s="13">
        <f>C1386*$E$1385</f>
        <v>11495</v>
      </c>
    </row>
    <row r="1387" spans="1:7" x14ac:dyDescent="0.3">
      <c r="C1387" s="13"/>
      <c r="D1387" s="39" t="s">
        <v>127</v>
      </c>
      <c r="E1387" s="40"/>
      <c r="F1387" s="40"/>
      <c r="G1387" s="40">
        <f>SUM(G1386:G1386)</f>
        <v>11495</v>
      </c>
    </row>
    <row r="1388" spans="1:7" x14ac:dyDescent="0.3">
      <c r="A1388" s="7" t="s">
        <v>62</v>
      </c>
      <c r="C1388" s="13"/>
      <c r="D1388" s="13"/>
      <c r="E1388" s="13"/>
      <c r="F1388" s="13"/>
    </row>
    <row r="1389" spans="1:7" x14ac:dyDescent="0.3">
      <c r="A1389" t="s">
        <v>1137</v>
      </c>
      <c r="C1389" s="13">
        <v>7</v>
      </c>
      <c r="D1389" s="16"/>
      <c r="E1389" s="13"/>
      <c r="F1389" s="13"/>
      <c r="G1389" s="13">
        <f>C1389*$E$1385</f>
        <v>16093</v>
      </c>
    </row>
    <row r="1390" spans="1:7" x14ac:dyDescent="0.3">
      <c r="C1390" s="13"/>
      <c r="D1390" s="39" t="s">
        <v>130</v>
      </c>
      <c r="E1390" s="40"/>
      <c r="F1390" s="40"/>
      <c r="G1390" s="40">
        <f>SUM(G1389:G1389)</f>
        <v>16093</v>
      </c>
    </row>
    <row r="1391" spans="1:7" x14ac:dyDescent="0.3">
      <c r="A1391" s="7" t="s">
        <v>63</v>
      </c>
      <c r="C1391" s="13"/>
      <c r="F1391" s="13"/>
    </row>
    <row r="1392" spans="1:7" x14ac:dyDescent="0.3">
      <c r="A1392" t="s">
        <v>1137</v>
      </c>
      <c r="C1392" s="13">
        <v>10</v>
      </c>
      <c r="D1392" s="16"/>
      <c r="E1392" s="13"/>
      <c r="F1392" s="13"/>
      <c r="G1392" s="13">
        <f>C1392*$E$1385</f>
        <v>22990</v>
      </c>
    </row>
    <row r="1393" spans="1:8" x14ac:dyDescent="0.3">
      <c r="C1393" s="13"/>
      <c r="D1393" s="39" t="s">
        <v>133</v>
      </c>
      <c r="E1393" s="40"/>
      <c r="F1393" s="40"/>
      <c r="G1393" s="40">
        <f>SUM(G1392:G1392)</f>
        <v>22990</v>
      </c>
    </row>
    <row r="1394" spans="1:8" x14ac:dyDescent="0.3">
      <c r="A1394" s="7" t="s">
        <v>64</v>
      </c>
      <c r="C1394" s="13"/>
      <c r="F1394" s="13"/>
    </row>
    <row r="1395" spans="1:8" x14ac:dyDescent="0.3">
      <c r="A1395" t="s">
        <v>1137</v>
      </c>
      <c r="C1395" s="13">
        <v>15</v>
      </c>
      <c r="D1395" s="16"/>
      <c r="E1395" s="13"/>
      <c r="F1395" s="13"/>
      <c r="G1395" s="13">
        <f>C1395*$E$1385</f>
        <v>34485</v>
      </c>
    </row>
    <row r="1396" spans="1:8" x14ac:dyDescent="0.3">
      <c r="D1396" s="39" t="s">
        <v>137</v>
      </c>
      <c r="E1396" s="40"/>
      <c r="F1396" s="40"/>
      <c r="G1396" s="40">
        <f>SUM(G1395:G1395)</f>
        <v>34485</v>
      </c>
    </row>
    <row r="1397" spans="1:8" x14ac:dyDescent="0.3">
      <c r="D1397" s="12"/>
      <c r="E1397" s="12"/>
      <c r="F1397" s="12"/>
      <c r="G1397" s="12"/>
    </row>
    <row r="1398" spans="1:8" x14ac:dyDescent="0.3">
      <c r="D1398" s="12" t="s">
        <v>1315</v>
      </c>
      <c r="E1398" s="12" t="s">
        <v>1316</v>
      </c>
      <c r="F1398" s="12" t="s">
        <v>444</v>
      </c>
      <c r="G1398" s="12" t="s">
        <v>1317</v>
      </c>
    </row>
    <row r="1399" spans="1:8" x14ac:dyDescent="0.3">
      <c r="C1399" t="s">
        <v>139</v>
      </c>
      <c r="D1399" s="11">
        <f>'Attributes Back Calcs'!G7</f>
        <v>0</v>
      </c>
      <c r="E1399" s="11">
        <f>'Attributes Back Calcs'!G5</f>
        <v>899.5</v>
      </c>
      <c r="F1399" s="11">
        <f>'Attributes Back Calcs'!G4</f>
        <v>1399.5</v>
      </c>
      <c r="G1399" s="11">
        <f>'Attributes Inputs and Outputs'!D23</f>
        <v>0</v>
      </c>
    </row>
    <row r="1400" spans="1:8" x14ac:dyDescent="0.3">
      <c r="C1400" t="s">
        <v>1318</v>
      </c>
      <c r="D1400" s="11">
        <f>'Attributes Inputs and Outputs'!K8</f>
        <v>9</v>
      </c>
      <c r="E1400" s="11">
        <f>'Attributes Inputs and Outputs'!L8</f>
        <v>9</v>
      </c>
      <c r="F1400" s="11">
        <f>'Attributes Inputs and Outputs'!M8</f>
        <v>9</v>
      </c>
      <c r="G1400" s="11">
        <v>9</v>
      </c>
    </row>
    <row r="1401" spans="1:8" x14ac:dyDescent="0.3">
      <c r="B1401" t="s">
        <v>1307</v>
      </c>
      <c r="C1401" s="11" t="s">
        <v>1319</v>
      </c>
      <c r="D1401" s="11">
        <f>(D1399/Inputs!$C$69)*D1400/9</f>
        <v>0</v>
      </c>
      <c r="E1401" s="11">
        <f>(E1399/Inputs!$C$69)*E1400/9</f>
        <v>12.85</v>
      </c>
      <c r="F1401" s="11">
        <f>(F1399/Inputs!$C$69)*F1400/9</f>
        <v>19.992857142857144</v>
      </c>
      <c r="G1401" s="11">
        <f>(G1399/Inputs!$C$69)*G1400/9</f>
        <v>0</v>
      </c>
      <c r="H1401" s="11">
        <f>SUM(D1401:G1401)</f>
        <v>32.842857142857142</v>
      </c>
    </row>
    <row r="1402" spans="1:8" x14ac:dyDescent="0.3">
      <c r="A1402" s="7" t="s">
        <v>61</v>
      </c>
      <c r="C1402" s="13" t="s">
        <v>1314</v>
      </c>
      <c r="G1402" t="s">
        <v>56</v>
      </c>
    </row>
    <row r="1403" spans="1:8" x14ac:dyDescent="0.3">
      <c r="A1403" t="s">
        <v>1308</v>
      </c>
      <c r="B1403" t="s">
        <v>1309</v>
      </c>
      <c r="C1403" s="37">
        <v>12</v>
      </c>
      <c r="D1403" s="16"/>
      <c r="E1403" s="13"/>
      <c r="F1403" s="13"/>
      <c r="G1403" s="13">
        <f>C1403*$H$1401</f>
        <v>394.1142857142857</v>
      </c>
    </row>
    <row r="1404" spans="1:8" x14ac:dyDescent="0.3">
      <c r="B1404" s="103" t="s">
        <v>1322</v>
      </c>
      <c r="C1404" s="13"/>
      <c r="D1404" s="16"/>
      <c r="E1404" s="13"/>
      <c r="F1404" s="13"/>
      <c r="G1404" s="13"/>
    </row>
    <row r="1405" spans="1:8" x14ac:dyDescent="0.3">
      <c r="C1405" s="13"/>
      <c r="D1405" s="39" t="s">
        <v>127</v>
      </c>
      <c r="E1405" s="40"/>
      <c r="F1405" s="40"/>
      <c r="G1405" s="40">
        <f>SUM(G1403:G1404)</f>
        <v>394.1142857142857</v>
      </c>
    </row>
    <row r="1406" spans="1:8" x14ac:dyDescent="0.3">
      <c r="A1406" s="7" t="s">
        <v>62</v>
      </c>
      <c r="C1406" s="13" t="s">
        <v>1314</v>
      </c>
      <c r="D1406" s="13" t="s">
        <v>139</v>
      </c>
      <c r="E1406" s="13"/>
      <c r="F1406" s="13"/>
    </row>
    <row r="1407" spans="1:8" x14ac:dyDescent="0.3">
      <c r="A1407" t="s">
        <v>1308</v>
      </c>
      <c r="B1407" t="s">
        <v>1310</v>
      </c>
      <c r="C1407" s="13">
        <v>24</v>
      </c>
      <c r="D1407" s="16"/>
      <c r="E1407" s="13"/>
      <c r="F1407" s="13"/>
      <c r="G1407" s="13">
        <f>C1407*$H$1401</f>
        <v>788.2285714285714</v>
      </c>
    </row>
    <row r="1408" spans="1:8" x14ac:dyDescent="0.3">
      <c r="B1408" s="103" t="s">
        <v>1324</v>
      </c>
      <c r="C1408" s="13"/>
      <c r="D1408" s="16"/>
      <c r="E1408" s="13"/>
      <c r="F1408" s="13"/>
      <c r="G1408" s="13"/>
    </row>
    <row r="1409" spans="1:7" x14ac:dyDescent="0.3">
      <c r="B1409" s="103" t="s">
        <v>1323</v>
      </c>
      <c r="C1409" s="13"/>
      <c r="D1409" s="39" t="s">
        <v>130</v>
      </c>
      <c r="E1409" s="40"/>
      <c r="F1409" s="40"/>
      <c r="G1409" s="40">
        <f>SUM(G1407:G1408)</f>
        <v>788.2285714285714</v>
      </c>
    </row>
    <row r="1410" spans="1:7" x14ac:dyDescent="0.3">
      <c r="A1410" s="7" t="s">
        <v>63</v>
      </c>
      <c r="C1410" s="13" t="s">
        <v>1314</v>
      </c>
      <c r="F1410" s="13"/>
    </row>
    <row r="1411" spans="1:7" x14ac:dyDescent="0.3">
      <c r="A1411" t="s">
        <v>1308</v>
      </c>
      <c r="B1411" t="s">
        <v>1311</v>
      </c>
      <c r="C1411" s="13">
        <v>37</v>
      </c>
      <c r="D1411" s="16"/>
      <c r="E1411" s="13"/>
      <c r="F1411" s="13"/>
      <c r="G1411" s="13">
        <f>C1411*$H$1401</f>
        <v>1215.1857142857143</v>
      </c>
    </row>
    <row r="1412" spans="1:7" x14ac:dyDescent="0.3">
      <c r="B1412" s="103" t="s">
        <v>1325</v>
      </c>
      <c r="C1412" s="13"/>
      <c r="D1412" s="16"/>
      <c r="E1412" s="13"/>
      <c r="F1412" s="13"/>
      <c r="G1412" s="13"/>
    </row>
    <row r="1413" spans="1:7" x14ac:dyDescent="0.3">
      <c r="C1413" s="13"/>
      <c r="D1413" s="39" t="s">
        <v>133</v>
      </c>
      <c r="E1413" s="40"/>
      <c r="F1413" s="40"/>
      <c r="G1413" s="40">
        <f>SUM(G1411:G1412)</f>
        <v>1215.1857142857143</v>
      </c>
    </row>
    <row r="1414" spans="1:7" x14ac:dyDescent="0.3">
      <c r="A1414" s="7" t="s">
        <v>64</v>
      </c>
      <c r="C1414" s="13" t="s">
        <v>1314</v>
      </c>
      <c r="F1414" s="13"/>
    </row>
    <row r="1415" spans="1:7" x14ac:dyDescent="0.3">
      <c r="A1415" t="s">
        <v>1308</v>
      </c>
      <c r="B1415" t="s">
        <v>1312</v>
      </c>
      <c r="C1415" s="13">
        <v>53</v>
      </c>
      <c r="D1415" s="16"/>
      <c r="E1415" s="13"/>
      <c r="F1415" s="13"/>
      <c r="G1415" s="13">
        <f>C1415*$H$1401</f>
        <v>1740.6714285714286</v>
      </c>
    </row>
    <row r="1416" spans="1:7" x14ac:dyDescent="0.3">
      <c r="B1416" s="103" t="s">
        <v>1326</v>
      </c>
      <c r="C1416" s="13"/>
      <c r="D1416" s="16"/>
      <c r="E1416" s="13"/>
      <c r="F1416" s="13"/>
      <c r="G1416" s="13"/>
    </row>
    <row r="1417" spans="1:7" x14ac:dyDescent="0.3">
      <c r="B1417" t="s">
        <v>1321</v>
      </c>
      <c r="D1417" s="39" t="s">
        <v>137</v>
      </c>
      <c r="E1417" s="40"/>
      <c r="F1417" s="40"/>
      <c r="G1417" s="40">
        <f>SUM(G1415:G1416)</f>
        <v>1740.6714285714286</v>
      </c>
    </row>
    <row r="1418" spans="1:7" ht="86.4" x14ac:dyDescent="0.3">
      <c r="B1418" s="104" t="s">
        <v>1313</v>
      </c>
    </row>
  </sheetData>
  <conditionalFormatting sqref="B1058">
    <cfRule type="expression" dxfId="0" priority="5">
      <formula>MOD(ROW(),2)=0</formula>
    </cfRule>
  </conditionalFormatting>
  <hyperlinks>
    <hyperlink ref="B92" r:id="rId1" display="http://www.moen.com/2200-series/25-x22-stainless-steel-22-gauge-single-bowl-drop-in-sink/_/R-CONSUMER%3AG221984?next=SiteSearch.Image%7CPDP" xr:uid="{00000000-0004-0000-0400-000000000000}"/>
    <hyperlink ref="B127" r:id="rId2" display="http://www.moen.com/2200-series/25-x22-stainless-steel-22-gauge-single-bowl-drop-in-sink/_/R-CONSUMER%3AG221984?next=SiteSearch.Image%7CPDP" xr:uid="{00000000-0004-0000-0400-000001000000}"/>
    <hyperlink ref="B158" r:id="rId3" display="http://www.moen.com/2200-series/25-x22-stainless-steel-22-gauge-single-bowl-drop-in-sink/_/R-CONSUMER%3AG221984?next=SiteSearch.Image%7CPDP" xr:uid="{00000000-0004-0000-0400-000002000000}"/>
    <hyperlink ref="B167" r:id="rId4" display="http://www.moen.com/2200-series/25-x22-stainless-steel-22-gauge-single-bowl-drop-in-sink/_/R-CONSUMER%3AG221984?next=SiteSearch.Image%7CPDP" xr:uid="{00000000-0004-0000-0400-000003000000}"/>
    <hyperlink ref="B197" r:id="rId5" display="http://www.moen.com/2200-series/25-x22-stainless-steel-22-gauge-single-bowl-drop-in-sink/_/R-CONSUMER%3AG221984?next=SiteSearch.Image%7CPDP" xr:uid="{00000000-0004-0000-0400-000004000000}"/>
    <hyperlink ref="B206" r:id="rId6" display="http://www.moen.com/2200-series/25-x22-stainless-steel-22-gauge-single-bowl-drop-in-sink/_/R-CONSUMER%3AG221984?next=SiteSearch.Image%7CPDP" xr:uid="{00000000-0004-0000-0400-000005000000}"/>
    <hyperlink ref="B396" r:id="rId7" display="http://www.moen.com/2200-series/25-x22-stainless-steel-22-gauge-single-bowl-drop-in-sink/_/R-CONSUMER%3AG221984?next=SiteSearch.Image%7CPDP" xr:uid="{00000000-0004-0000-0400-000006000000}"/>
    <hyperlink ref="B1418" r:id="rId8" display="https://www.sherwin-williams.com/CompareProductsDisplayView?storeId=10151&amp;catalogId=11052&amp;langId=&amp;compareReturnName=Paint%20&amp;%20Coatings&amp;searchTerm=&amp;categoryId=21977&amp;catentryId=13243;13326;317016;13169;13229&amp;returnUrl=https:%2F%2Fwww.sherwin-williams.com%2Fpainting-contractors%2Fpaint-coatings-interior%23facet:-70000000000000057057010897116%26productBeginIndex:0%26orderBy:%26pageView:grid%26minPrice:%26maxPrice:%26pageSize:45%26%3FfromPage%3Dcompare" xr:uid="{5ECDB817-CAD4-4DA9-B262-B7FEAC6192A0}"/>
    <hyperlink ref="B1404" r:id="rId9" xr:uid="{0F40E7CE-CDA3-45D1-B52A-42B3B3D87A78}"/>
    <hyperlink ref="B1409" r:id="rId10" xr:uid="{D5C7362A-138D-4847-8C2C-79C2C1239637}"/>
    <hyperlink ref="B1408" r:id="rId11" xr:uid="{C7CEF928-83A6-483F-A63A-90CDF65E8825}"/>
    <hyperlink ref="B1412" r:id="rId12" xr:uid="{92987F4A-7EAF-4618-954D-A4CCFAEE261C}"/>
    <hyperlink ref="B1416" r:id="rId13" xr:uid="{B8BAA533-3C85-492E-B1F3-8E1DC00BCFDC}"/>
  </hyperlinks>
  <pageMargins left="0.7" right="0.7" top="0.75" bottom="0.75" header="0.3" footer="0.3"/>
  <pageSetup orientation="portrait" r:id="rId14"/>
  <legacyDrawing r:id="rId1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autoPageBreaks="0"/>
  </sheetPr>
  <dimension ref="A1:AD60"/>
  <sheetViews>
    <sheetView workbookViewId="0">
      <selection activeCell="C6" sqref="C6"/>
    </sheetView>
  </sheetViews>
  <sheetFormatPr defaultColWidth="8.88671875" defaultRowHeight="14.4" x14ac:dyDescent="0.3"/>
  <cols>
    <col min="2" max="2" width="21.88671875" bestFit="1" customWidth="1"/>
    <col min="3" max="3" width="12.109375" bestFit="1" customWidth="1"/>
    <col min="4" max="4" width="11.21875" bestFit="1" customWidth="1"/>
    <col min="5" max="5" width="12.109375" bestFit="1" customWidth="1"/>
    <col min="6" max="6" width="10.44140625" bestFit="1" customWidth="1"/>
    <col min="7" max="7" width="14.88671875" bestFit="1" customWidth="1"/>
    <col min="8" max="8" width="26.33203125" bestFit="1" customWidth="1"/>
    <col min="9" max="9" width="21.6640625" bestFit="1" customWidth="1"/>
    <col min="10" max="10" width="21.6640625" customWidth="1"/>
    <col min="11" max="11" width="11.6640625" customWidth="1"/>
    <col min="12" max="12" width="10.33203125" bestFit="1" customWidth="1"/>
    <col min="14" max="14" width="11.6640625" bestFit="1" customWidth="1"/>
    <col min="15" max="16" width="11.6640625" customWidth="1"/>
    <col min="17" max="17" width="16" bestFit="1" customWidth="1"/>
    <col min="18" max="18" width="15.6640625" bestFit="1" customWidth="1"/>
    <col min="19" max="19" width="21.6640625" bestFit="1" customWidth="1"/>
    <col min="20" max="20" width="20.21875" bestFit="1" customWidth="1"/>
    <col min="21" max="21" width="16.77734375" bestFit="1" customWidth="1"/>
    <col min="22" max="22" width="29.88671875" bestFit="1" customWidth="1"/>
    <col min="23" max="24" width="29.88671875" customWidth="1"/>
    <col min="25" max="25" width="25" bestFit="1" customWidth="1"/>
    <col min="26" max="26" width="16.109375" bestFit="1" customWidth="1"/>
    <col min="27" max="27" width="20.6640625" bestFit="1" customWidth="1"/>
    <col min="29" max="29" width="12.33203125" bestFit="1" customWidth="1"/>
    <col min="30" max="30" width="33.6640625" bestFit="1" customWidth="1"/>
  </cols>
  <sheetData>
    <row r="1" spans="1:28" x14ac:dyDescent="0.3">
      <c r="B1" t="s">
        <v>329</v>
      </c>
      <c r="C1" s="2">
        <f>C2*(1+Inputs!C16)</f>
        <v>393750</v>
      </c>
      <c r="E1" s="10"/>
    </row>
    <row r="2" spans="1:28" x14ac:dyDescent="0.3">
      <c r="B2" t="s">
        <v>330</v>
      </c>
      <c r="C2" s="2">
        <v>315000</v>
      </c>
      <c r="D2" s="99"/>
    </row>
    <row r="4" spans="1:28" x14ac:dyDescent="0.3">
      <c r="B4" s="59" t="s">
        <v>9</v>
      </c>
      <c r="C4" s="59" t="s">
        <v>10</v>
      </c>
      <c r="D4" s="59" t="s">
        <v>109</v>
      </c>
      <c r="E4" s="59"/>
      <c r="F4" s="59"/>
      <c r="G4" s="59" t="s">
        <v>12</v>
      </c>
      <c r="H4" s="59" t="s">
        <v>13</v>
      </c>
      <c r="I4" s="59" t="s">
        <v>51</v>
      </c>
      <c r="J4" s="59"/>
      <c r="K4" s="59"/>
      <c r="L4" s="59" t="s">
        <v>15</v>
      </c>
      <c r="M4" s="59" t="s">
        <v>110</v>
      </c>
      <c r="N4" s="59" t="s">
        <v>17</v>
      </c>
      <c r="O4" s="59"/>
      <c r="P4" s="59"/>
      <c r="Q4" s="59"/>
      <c r="R4" t="s">
        <v>18</v>
      </c>
      <c r="Y4" s="59" t="s">
        <v>52</v>
      </c>
      <c r="Z4" t="s">
        <v>27</v>
      </c>
      <c r="AA4" t="s">
        <v>331</v>
      </c>
      <c r="AB4" t="s">
        <v>29</v>
      </c>
    </row>
    <row r="5" spans="1:28" x14ac:dyDescent="0.3">
      <c r="B5" s="59"/>
      <c r="C5" s="59"/>
      <c r="D5" s="59"/>
      <c r="E5" s="59"/>
      <c r="F5" s="59"/>
      <c r="G5" s="59"/>
      <c r="H5" s="59"/>
      <c r="I5" s="59"/>
      <c r="J5" s="59"/>
      <c r="K5" s="59"/>
      <c r="L5" s="59"/>
      <c r="M5" s="59"/>
      <c r="N5" s="59" t="s">
        <v>12</v>
      </c>
      <c r="O5" s="59" t="s">
        <v>21</v>
      </c>
      <c r="P5" s="59" t="s">
        <v>22</v>
      </c>
      <c r="Q5" s="59" t="s">
        <v>23</v>
      </c>
      <c r="R5" s="59" t="s">
        <v>24</v>
      </c>
      <c r="S5" s="59" t="s">
        <v>1258</v>
      </c>
      <c r="T5" s="59"/>
      <c r="U5" s="59"/>
      <c r="V5" s="59" t="s">
        <v>25</v>
      </c>
      <c r="W5" s="59" t="s">
        <v>791</v>
      </c>
      <c r="X5" s="59" t="s">
        <v>1115</v>
      </c>
      <c r="Y5" s="59"/>
    </row>
    <row r="6" spans="1:28" x14ac:dyDescent="0.3">
      <c r="A6" t="s">
        <v>108</v>
      </c>
      <c r="B6">
        <v>3</v>
      </c>
      <c r="C6">
        <f>C26</f>
        <v>3</v>
      </c>
      <c r="D6" t="str">
        <f>F27</f>
        <v>2100 - 2299</v>
      </c>
      <c r="G6" t="s">
        <v>31</v>
      </c>
      <c r="H6" t="s">
        <v>332</v>
      </c>
      <c r="I6" t="s">
        <v>33</v>
      </c>
      <c r="J6" t="s">
        <v>38</v>
      </c>
      <c r="L6">
        <f>L26</f>
        <v>2</v>
      </c>
      <c r="M6">
        <v>2</v>
      </c>
      <c r="N6">
        <f>N26</f>
        <v>9</v>
      </c>
      <c r="O6">
        <v>9</v>
      </c>
      <c r="P6">
        <f>P26</f>
        <v>9</v>
      </c>
      <c r="Q6">
        <v>0</v>
      </c>
      <c r="R6" t="str">
        <f>R25</f>
        <v>Few</v>
      </c>
      <c r="S6" t="s">
        <v>1267</v>
      </c>
      <c r="V6" t="s">
        <v>36</v>
      </c>
      <c r="W6" t="s">
        <v>792</v>
      </c>
      <c r="X6" t="s">
        <v>38</v>
      </c>
      <c r="Y6" t="s">
        <v>333</v>
      </c>
      <c r="Z6" t="s">
        <v>38</v>
      </c>
      <c r="AA6" t="s">
        <v>38</v>
      </c>
      <c r="AB6" t="s">
        <v>38</v>
      </c>
    </row>
    <row r="7" spans="1:28" x14ac:dyDescent="0.3">
      <c r="D7">
        <v>2299</v>
      </c>
      <c r="I7" t="s">
        <v>112</v>
      </c>
      <c r="J7" t="s">
        <v>38</v>
      </c>
    </row>
    <row r="8" spans="1:28" x14ac:dyDescent="0.3">
      <c r="I8" t="s">
        <v>41</v>
      </c>
      <c r="J8" t="s">
        <v>38</v>
      </c>
    </row>
    <row r="9" spans="1:28" x14ac:dyDescent="0.3">
      <c r="I9" t="s">
        <v>42</v>
      </c>
      <c r="J9" t="s">
        <v>38</v>
      </c>
    </row>
    <row r="10" spans="1:28" x14ac:dyDescent="0.3">
      <c r="I10" s="42" t="s">
        <v>43</v>
      </c>
      <c r="J10" t="s">
        <v>38</v>
      </c>
    </row>
    <row r="11" spans="1:28" x14ac:dyDescent="0.3">
      <c r="I11" s="42" t="s">
        <v>44</v>
      </c>
      <c r="J11" t="s">
        <v>38</v>
      </c>
    </row>
    <row r="12" spans="1:28" x14ac:dyDescent="0.3">
      <c r="I12" t="s">
        <v>46</v>
      </c>
      <c r="J12" t="str">
        <f>J30</f>
        <v>No</v>
      </c>
    </row>
    <row r="13" spans="1:28" x14ac:dyDescent="0.3">
      <c r="I13" t="s">
        <v>47</v>
      </c>
      <c r="J13" t="s">
        <v>38</v>
      </c>
    </row>
    <row r="14" spans="1:28" x14ac:dyDescent="0.3">
      <c r="I14" t="s">
        <v>48</v>
      </c>
      <c r="J14" t="str">
        <f>J32</f>
        <v>No</v>
      </c>
    </row>
    <row r="15" spans="1:28" x14ac:dyDescent="0.3">
      <c r="I15" t="s">
        <v>615</v>
      </c>
      <c r="J15" t="s">
        <v>38</v>
      </c>
    </row>
    <row r="16" spans="1:28" x14ac:dyDescent="0.3">
      <c r="I16" t="s">
        <v>658</v>
      </c>
      <c r="J16" t="s">
        <v>38</v>
      </c>
    </row>
    <row r="17" spans="1:30" x14ac:dyDescent="0.3">
      <c r="I17" t="s">
        <v>674</v>
      </c>
      <c r="J17" t="s">
        <v>38</v>
      </c>
    </row>
    <row r="18" spans="1:30" x14ac:dyDescent="0.3">
      <c r="I18" t="s">
        <v>29</v>
      </c>
      <c r="J18" t="s">
        <v>38</v>
      </c>
    </row>
    <row r="19" spans="1:30" x14ac:dyDescent="0.3">
      <c r="I19" t="s">
        <v>788</v>
      </c>
      <c r="J19" t="s">
        <v>38</v>
      </c>
    </row>
    <row r="20" spans="1:30" x14ac:dyDescent="0.3">
      <c r="I20" t="s">
        <v>107</v>
      </c>
      <c r="J20" t="s">
        <v>38</v>
      </c>
    </row>
    <row r="22" spans="1:30" x14ac:dyDescent="0.3">
      <c r="B22" s="59" t="s">
        <v>9</v>
      </c>
      <c r="C22" s="59" t="s">
        <v>10</v>
      </c>
      <c r="D22" s="109" t="s">
        <v>109</v>
      </c>
      <c r="E22" s="109"/>
      <c r="F22" s="109"/>
      <c r="G22" s="59" t="s">
        <v>12</v>
      </c>
      <c r="H22" s="59" t="s">
        <v>13</v>
      </c>
      <c r="I22" s="109" t="s">
        <v>51</v>
      </c>
      <c r="J22" s="109"/>
      <c r="K22" s="109"/>
      <c r="L22" s="59" t="s">
        <v>15</v>
      </c>
      <c r="M22" s="59" t="s">
        <v>110</v>
      </c>
      <c r="N22" s="59" t="s">
        <v>17</v>
      </c>
      <c r="O22" s="59"/>
      <c r="P22" s="59"/>
      <c r="Q22" s="59"/>
      <c r="R22" t="s">
        <v>18</v>
      </c>
      <c r="Y22" s="59" t="s">
        <v>52</v>
      </c>
    </row>
    <row r="23" spans="1:30" x14ac:dyDescent="0.3">
      <c r="B23" s="59" t="s">
        <v>334</v>
      </c>
      <c r="C23" s="59" t="s">
        <v>334</v>
      </c>
      <c r="D23" s="59"/>
      <c r="E23" s="59"/>
      <c r="F23" s="59" t="s">
        <v>335</v>
      </c>
      <c r="G23" s="59" t="s">
        <v>334</v>
      </c>
      <c r="H23" s="59"/>
      <c r="I23" s="59"/>
      <c r="J23" s="109" t="s">
        <v>336</v>
      </c>
      <c r="K23" s="109"/>
      <c r="L23" s="59" t="s">
        <v>337</v>
      </c>
      <c r="M23" s="59" t="s">
        <v>334</v>
      </c>
      <c r="N23" s="59" t="s">
        <v>12</v>
      </c>
      <c r="O23" s="59" t="s">
        <v>21</v>
      </c>
      <c r="P23" s="59" t="s">
        <v>22</v>
      </c>
      <c r="Q23" s="59" t="s">
        <v>23</v>
      </c>
      <c r="R23" s="59" t="s">
        <v>24</v>
      </c>
      <c r="S23" s="59" t="s">
        <v>1258</v>
      </c>
      <c r="T23" s="59" t="s">
        <v>1292</v>
      </c>
      <c r="U23" s="59" t="s">
        <v>1293</v>
      </c>
      <c r="V23" s="59" t="s">
        <v>25</v>
      </c>
      <c r="W23" s="59" t="s">
        <v>791</v>
      </c>
      <c r="X23" s="59" t="s">
        <v>1115</v>
      </c>
      <c r="Y23" s="59" t="s">
        <v>334</v>
      </c>
      <c r="Z23" s="59" t="s">
        <v>27</v>
      </c>
    </row>
    <row r="24" spans="1:30" x14ac:dyDescent="0.3">
      <c r="A24" t="s">
        <v>338</v>
      </c>
      <c r="B24">
        <v>1</v>
      </c>
      <c r="C24">
        <v>2</v>
      </c>
      <c r="D24">
        <v>1500</v>
      </c>
      <c r="E24">
        <v>1699</v>
      </c>
      <c r="F24" t="str">
        <f>D24&amp; " - "&amp;E24</f>
        <v>1500 - 1699</v>
      </c>
      <c r="G24" t="s">
        <v>38</v>
      </c>
      <c r="H24" t="s">
        <v>332</v>
      </c>
      <c r="I24" t="s">
        <v>33</v>
      </c>
      <c r="J24" t="s">
        <v>38</v>
      </c>
      <c r="K24" t="s">
        <v>34</v>
      </c>
      <c r="L24">
        <v>0</v>
      </c>
      <c r="M24">
        <v>1</v>
      </c>
      <c r="N24" t="s">
        <v>113</v>
      </c>
      <c r="P24" t="s">
        <v>113</v>
      </c>
      <c r="Q24">
        <v>0</v>
      </c>
      <c r="R24" t="s">
        <v>181</v>
      </c>
      <c r="S24" t="s">
        <v>1267</v>
      </c>
      <c r="T24" s="26">
        <v>0.97</v>
      </c>
      <c r="U24" s="26">
        <v>1</v>
      </c>
      <c r="V24" t="s">
        <v>339</v>
      </c>
      <c r="W24" t="s">
        <v>792</v>
      </c>
      <c r="X24" t="s">
        <v>38</v>
      </c>
      <c r="Y24" t="s">
        <v>37</v>
      </c>
      <c r="Z24" t="s">
        <v>38</v>
      </c>
      <c r="AD24" s="101"/>
    </row>
    <row r="25" spans="1:30" x14ac:dyDescent="0.3">
      <c r="B25">
        <v>2</v>
      </c>
      <c r="C25">
        <f>C24+0.5</f>
        <v>2.5</v>
      </c>
      <c r="D25">
        <f>D24+200</f>
        <v>1700</v>
      </c>
      <c r="E25">
        <f>E24+200</f>
        <v>1899</v>
      </c>
      <c r="F25" t="str">
        <f t="shared" ref="F25:F42" si="0">D25&amp; " - "&amp;E25</f>
        <v>1700 - 1899</v>
      </c>
      <c r="G25" t="s">
        <v>31</v>
      </c>
      <c r="H25" t="s">
        <v>340</v>
      </c>
      <c r="I25" t="s">
        <v>39</v>
      </c>
      <c r="J25" t="s">
        <v>38</v>
      </c>
      <c r="K25" t="s">
        <v>34</v>
      </c>
      <c r="L25">
        <v>1</v>
      </c>
      <c r="M25">
        <v>2</v>
      </c>
      <c r="N25">
        <v>8</v>
      </c>
      <c r="O25">
        <v>8</v>
      </c>
      <c r="P25">
        <v>8</v>
      </c>
      <c r="Q25">
        <v>1</v>
      </c>
      <c r="R25" t="s">
        <v>341</v>
      </c>
      <c r="S25" t="s">
        <v>1268</v>
      </c>
      <c r="T25" s="26">
        <v>0.9</v>
      </c>
      <c r="U25" s="26">
        <v>0.96</v>
      </c>
      <c r="V25" t="s">
        <v>342</v>
      </c>
      <c r="W25" t="s">
        <v>793</v>
      </c>
      <c r="X25" t="s">
        <v>34</v>
      </c>
      <c r="Y25" t="s">
        <v>343</v>
      </c>
      <c r="Z25" t="s">
        <v>34</v>
      </c>
      <c r="AD25" s="101"/>
    </row>
    <row r="26" spans="1:30" x14ac:dyDescent="0.3">
      <c r="B26">
        <v>3</v>
      </c>
      <c r="C26">
        <f t="shared" ref="C26:C36" si="1">C25+0.5</f>
        <v>3</v>
      </c>
      <c r="D26">
        <f t="shared" ref="D26:D39" si="2">D25+200</f>
        <v>1900</v>
      </c>
      <c r="E26">
        <f t="shared" ref="E26:E39" si="3">E25+200</f>
        <v>2099</v>
      </c>
      <c r="F26" t="str">
        <f t="shared" si="0"/>
        <v>1900 - 2099</v>
      </c>
      <c r="G26" t="s">
        <v>344</v>
      </c>
      <c r="H26" t="s">
        <v>1172</v>
      </c>
      <c r="I26" t="s">
        <v>41</v>
      </c>
      <c r="J26" t="s">
        <v>38</v>
      </c>
      <c r="K26" t="s">
        <v>34</v>
      </c>
      <c r="L26">
        <v>2</v>
      </c>
      <c r="N26">
        <v>9</v>
      </c>
      <c r="O26">
        <v>9</v>
      </c>
      <c r="P26">
        <v>9</v>
      </c>
      <c r="Q26">
        <v>2</v>
      </c>
      <c r="R26" t="s">
        <v>345</v>
      </c>
      <c r="S26" t="s">
        <v>1259</v>
      </c>
      <c r="T26" s="26">
        <v>0.83</v>
      </c>
      <c r="U26" s="26">
        <v>0.89</v>
      </c>
      <c r="V26" t="s">
        <v>36</v>
      </c>
      <c r="W26" t="s">
        <v>794</v>
      </c>
      <c r="Y26" t="s">
        <v>333</v>
      </c>
      <c r="AD26" s="101"/>
    </row>
    <row r="27" spans="1:30" x14ac:dyDescent="0.3">
      <c r="B27">
        <v>4</v>
      </c>
      <c r="C27">
        <f t="shared" si="1"/>
        <v>3.5</v>
      </c>
      <c r="D27">
        <f t="shared" si="2"/>
        <v>2100</v>
      </c>
      <c r="E27">
        <f t="shared" si="3"/>
        <v>2299</v>
      </c>
      <c r="F27" s="3" t="str">
        <f t="shared" si="0"/>
        <v>2100 - 2299</v>
      </c>
      <c r="H27" t="s">
        <v>32</v>
      </c>
      <c r="I27" t="s">
        <v>42</v>
      </c>
      <c r="J27" t="s">
        <v>38</v>
      </c>
      <c r="K27" t="s">
        <v>34</v>
      </c>
      <c r="L27">
        <v>3</v>
      </c>
      <c r="N27">
        <v>10</v>
      </c>
      <c r="O27">
        <v>10</v>
      </c>
      <c r="P27">
        <v>10</v>
      </c>
      <c r="Q27">
        <v>3</v>
      </c>
      <c r="R27" t="s">
        <v>346</v>
      </c>
      <c r="S27" t="s">
        <v>1260</v>
      </c>
      <c r="T27" s="26">
        <v>0.75</v>
      </c>
      <c r="U27" s="26">
        <v>0.82</v>
      </c>
      <c r="V27" t="s">
        <v>347</v>
      </c>
      <c r="W27" t="s">
        <v>12</v>
      </c>
      <c r="AD27" s="101"/>
    </row>
    <row r="28" spans="1:30" x14ac:dyDescent="0.3">
      <c r="B28">
        <v>5</v>
      </c>
      <c r="C28">
        <f t="shared" si="1"/>
        <v>4</v>
      </c>
      <c r="D28">
        <f t="shared" si="2"/>
        <v>2300</v>
      </c>
      <c r="E28">
        <f t="shared" si="3"/>
        <v>2499</v>
      </c>
      <c r="F28" s="3" t="str">
        <f t="shared" si="0"/>
        <v>2300 - 2499</v>
      </c>
      <c r="I28" s="42" t="s">
        <v>43</v>
      </c>
      <c r="J28" t="s">
        <v>38</v>
      </c>
      <c r="K28" t="s">
        <v>34</v>
      </c>
      <c r="L28">
        <v>4</v>
      </c>
      <c r="N28">
        <v>11</v>
      </c>
      <c r="O28">
        <v>11</v>
      </c>
      <c r="P28">
        <v>11</v>
      </c>
      <c r="Q28">
        <v>4</v>
      </c>
      <c r="R28" t="s">
        <v>348</v>
      </c>
      <c r="S28" t="s">
        <v>1261</v>
      </c>
      <c r="T28" s="26">
        <v>0.65</v>
      </c>
      <c r="U28" s="26">
        <v>0.74</v>
      </c>
      <c r="V28" t="s">
        <v>349</v>
      </c>
      <c r="AD28" s="101"/>
    </row>
    <row r="29" spans="1:30" x14ac:dyDescent="0.3">
      <c r="B29">
        <v>6</v>
      </c>
      <c r="C29">
        <f t="shared" si="1"/>
        <v>4.5</v>
      </c>
      <c r="D29">
        <f t="shared" si="2"/>
        <v>2500</v>
      </c>
      <c r="E29">
        <f t="shared" si="3"/>
        <v>2699</v>
      </c>
      <c r="F29" s="3" t="str">
        <f t="shared" si="0"/>
        <v>2500 - 2699</v>
      </c>
      <c r="I29" s="42" t="s">
        <v>44</v>
      </c>
      <c r="J29" t="s">
        <v>38</v>
      </c>
      <c r="K29" t="s">
        <v>34</v>
      </c>
      <c r="N29">
        <v>12</v>
      </c>
      <c r="O29">
        <v>12</v>
      </c>
      <c r="P29">
        <v>12</v>
      </c>
      <c r="S29" t="s">
        <v>1262</v>
      </c>
      <c r="T29" s="26">
        <v>0.5</v>
      </c>
      <c r="U29" s="26">
        <v>0.64</v>
      </c>
      <c r="AD29" s="101"/>
    </row>
    <row r="30" spans="1:30" x14ac:dyDescent="0.3">
      <c r="B30">
        <v>7</v>
      </c>
      <c r="C30">
        <f t="shared" si="1"/>
        <v>5</v>
      </c>
      <c r="D30">
        <f t="shared" si="2"/>
        <v>2700</v>
      </c>
      <c r="E30">
        <f t="shared" si="3"/>
        <v>2899</v>
      </c>
      <c r="F30" s="3" t="str">
        <f t="shared" si="0"/>
        <v>2700 - 2899</v>
      </c>
      <c r="I30" t="s">
        <v>46</v>
      </c>
      <c r="J30" t="s">
        <v>38</v>
      </c>
      <c r="K30" t="s">
        <v>34</v>
      </c>
      <c r="S30" t="s">
        <v>1263</v>
      </c>
      <c r="T30" s="26">
        <v>0.4</v>
      </c>
      <c r="U30" s="26">
        <v>0.49</v>
      </c>
      <c r="AD30" s="101"/>
    </row>
    <row r="31" spans="1:30" x14ac:dyDescent="0.3">
      <c r="B31">
        <v>8</v>
      </c>
      <c r="C31">
        <f t="shared" si="1"/>
        <v>5.5</v>
      </c>
      <c r="D31">
        <f t="shared" si="2"/>
        <v>2900</v>
      </c>
      <c r="E31">
        <f t="shared" si="3"/>
        <v>3099</v>
      </c>
      <c r="F31" s="4" t="str">
        <f t="shared" si="0"/>
        <v>2900 - 3099</v>
      </c>
      <c r="I31" t="s">
        <v>47</v>
      </c>
      <c r="J31" t="s">
        <v>38</v>
      </c>
      <c r="K31" t="s">
        <v>34</v>
      </c>
      <c r="S31" t="s">
        <v>1264</v>
      </c>
      <c r="T31" s="26">
        <v>0.3</v>
      </c>
      <c r="U31" s="26">
        <v>0.39</v>
      </c>
      <c r="AD31" s="101"/>
    </row>
    <row r="32" spans="1:30" x14ac:dyDescent="0.3">
      <c r="C32">
        <f t="shared" si="1"/>
        <v>6</v>
      </c>
      <c r="D32">
        <f t="shared" si="2"/>
        <v>3100</v>
      </c>
      <c r="E32">
        <f t="shared" si="3"/>
        <v>3299</v>
      </c>
      <c r="F32" s="4" t="str">
        <f t="shared" si="0"/>
        <v>3100 - 3299</v>
      </c>
      <c r="I32" t="s">
        <v>48</v>
      </c>
      <c r="J32" t="s">
        <v>38</v>
      </c>
      <c r="K32" t="s">
        <v>34</v>
      </c>
      <c r="S32" t="s">
        <v>1265</v>
      </c>
      <c r="T32" s="26">
        <v>0.2</v>
      </c>
      <c r="U32" s="26">
        <v>0.28999999999999998</v>
      </c>
      <c r="AD32" s="101"/>
    </row>
    <row r="33" spans="3:21" x14ac:dyDescent="0.3">
      <c r="C33">
        <f t="shared" si="1"/>
        <v>6.5</v>
      </c>
      <c r="D33">
        <f t="shared" si="2"/>
        <v>3300</v>
      </c>
      <c r="E33">
        <f t="shared" si="3"/>
        <v>3499</v>
      </c>
      <c r="F33" s="4" t="str">
        <f t="shared" si="0"/>
        <v>3300 - 3499</v>
      </c>
      <c r="I33" t="s">
        <v>615</v>
      </c>
      <c r="J33" t="s">
        <v>38</v>
      </c>
      <c r="K33" t="s">
        <v>34</v>
      </c>
      <c r="S33" t="s">
        <v>1266</v>
      </c>
      <c r="T33" s="26">
        <v>0.1</v>
      </c>
      <c r="U33" s="26">
        <v>0.19</v>
      </c>
    </row>
    <row r="34" spans="3:21" x14ac:dyDescent="0.3">
      <c r="C34">
        <f t="shared" si="1"/>
        <v>7</v>
      </c>
      <c r="D34">
        <f t="shared" si="2"/>
        <v>3500</v>
      </c>
      <c r="E34">
        <f t="shared" si="3"/>
        <v>3699</v>
      </c>
      <c r="F34" s="4" t="str">
        <f t="shared" si="0"/>
        <v>3500 - 3699</v>
      </c>
      <c r="I34" t="s">
        <v>658</v>
      </c>
      <c r="J34" t="s">
        <v>38</v>
      </c>
      <c r="K34" t="s">
        <v>34</v>
      </c>
    </row>
    <row r="35" spans="3:21" x14ac:dyDescent="0.3">
      <c r="C35">
        <f t="shared" si="1"/>
        <v>7.5</v>
      </c>
      <c r="D35">
        <f t="shared" si="2"/>
        <v>3700</v>
      </c>
      <c r="E35">
        <f t="shared" si="3"/>
        <v>3899</v>
      </c>
      <c r="F35" s="5" t="str">
        <f t="shared" si="0"/>
        <v>3700 - 3899</v>
      </c>
      <c r="I35" t="s">
        <v>674</v>
      </c>
      <c r="J35" t="s">
        <v>38</v>
      </c>
      <c r="K35" t="s">
        <v>34</v>
      </c>
      <c r="S35" t="s">
        <v>1266</v>
      </c>
      <c r="T35" s="26">
        <v>0.1</v>
      </c>
      <c r="U35" s="26">
        <v>0.19</v>
      </c>
    </row>
    <row r="36" spans="3:21" x14ac:dyDescent="0.3">
      <c r="C36">
        <f t="shared" si="1"/>
        <v>8</v>
      </c>
      <c r="D36">
        <f t="shared" si="2"/>
        <v>3900</v>
      </c>
      <c r="E36">
        <f t="shared" si="3"/>
        <v>4099</v>
      </c>
      <c r="F36" s="5" t="str">
        <f t="shared" si="0"/>
        <v>3900 - 4099</v>
      </c>
      <c r="I36" t="s">
        <v>29</v>
      </c>
      <c r="J36" t="s">
        <v>38</v>
      </c>
      <c r="K36" t="s">
        <v>34</v>
      </c>
      <c r="S36" t="s">
        <v>1265</v>
      </c>
      <c r="T36" s="26">
        <v>0.2</v>
      </c>
      <c r="U36" s="26">
        <v>0.28999999999999998</v>
      </c>
    </row>
    <row r="37" spans="3:21" x14ac:dyDescent="0.3">
      <c r="D37">
        <f t="shared" si="2"/>
        <v>4100</v>
      </c>
      <c r="E37">
        <f t="shared" si="3"/>
        <v>4299</v>
      </c>
      <c r="F37" s="5" t="str">
        <f t="shared" si="0"/>
        <v>4100 - 4299</v>
      </c>
      <c r="I37" t="s">
        <v>788</v>
      </c>
      <c r="J37" t="s">
        <v>38</v>
      </c>
      <c r="K37" t="s">
        <v>34</v>
      </c>
      <c r="S37" t="s">
        <v>1264</v>
      </c>
      <c r="T37" s="26">
        <v>0.3</v>
      </c>
      <c r="U37" s="26">
        <v>0.39</v>
      </c>
    </row>
    <row r="38" spans="3:21" x14ac:dyDescent="0.3">
      <c r="D38">
        <f t="shared" si="2"/>
        <v>4300</v>
      </c>
      <c r="E38">
        <f t="shared" si="3"/>
        <v>4499</v>
      </c>
      <c r="F38" s="5" t="str">
        <f t="shared" si="0"/>
        <v>4300 - 4499</v>
      </c>
      <c r="I38" t="s">
        <v>107</v>
      </c>
      <c r="J38" t="s">
        <v>38</v>
      </c>
      <c r="K38" t="s">
        <v>34</v>
      </c>
      <c r="S38" t="s">
        <v>1263</v>
      </c>
      <c r="T38" s="26">
        <v>0.4</v>
      </c>
      <c r="U38" s="26">
        <v>0.49</v>
      </c>
    </row>
    <row r="39" spans="3:21" x14ac:dyDescent="0.3">
      <c r="D39">
        <f t="shared" si="2"/>
        <v>4500</v>
      </c>
      <c r="E39">
        <f t="shared" si="3"/>
        <v>4699</v>
      </c>
      <c r="F39" s="6" t="str">
        <f t="shared" si="0"/>
        <v>4500 - 4699</v>
      </c>
      <c r="S39" t="s">
        <v>1262</v>
      </c>
      <c r="T39" s="26">
        <v>0.5</v>
      </c>
      <c r="U39" s="26">
        <v>0.64</v>
      </c>
    </row>
    <row r="40" spans="3:21" x14ac:dyDescent="0.3">
      <c r="D40">
        <f>D39+200</f>
        <v>4700</v>
      </c>
      <c r="E40">
        <f>E39+200</f>
        <v>4899</v>
      </c>
      <c r="F40" s="6" t="str">
        <f t="shared" si="0"/>
        <v>4700 - 4899</v>
      </c>
      <c r="S40" t="s">
        <v>1261</v>
      </c>
      <c r="T40" s="26">
        <v>0.65</v>
      </c>
      <c r="U40" s="26">
        <v>0.74</v>
      </c>
    </row>
    <row r="41" spans="3:21" x14ac:dyDescent="0.3">
      <c r="D41">
        <f>D40+200</f>
        <v>4900</v>
      </c>
      <c r="E41">
        <f>E40+200</f>
        <v>5099</v>
      </c>
      <c r="F41" s="6" t="str">
        <f t="shared" si="0"/>
        <v>4900 - 5099</v>
      </c>
      <c r="S41" t="s">
        <v>1260</v>
      </c>
      <c r="T41" s="26">
        <v>0.75</v>
      </c>
      <c r="U41" s="26">
        <v>0.82</v>
      </c>
    </row>
    <row r="42" spans="3:21" x14ac:dyDescent="0.3">
      <c r="D42">
        <v>5100</v>
      </c>
      <c r="E42">
        <f>D42+499</f>
        <v>5599</v>
      </c>
      <c r="F42" s="6" t="str">
        <f t="shared" si="0"/>
        <v>5100 - 5599</v>
      </c>
      <c r="S42" t="s">
        <v>1259</v>
      </c>
      <c r="T42" s="26">
        <v>0.83</v>
      </c>
      <c r="U42" s="26">
        <v>0.89</v>
      </c>
    </row>
    <row r="43" spans="3:21" x14ac:dyDescent="0.3">
      <c r="D43">
        <f t="shared" ref="D43:D49" si="4">D42+500</f>
        <v>5600</v>
      </c>
      <c r="E43">
        <f>D43+499</f>
        <v>6099</v>
      </c>
      <c r="F43" s="6" t="str">
        <f t="shared" ref="F43:F48" si="5">D43&amp; " - "&amp;E43</f>
        <v>5600 - 6099</v>
      </c>
      <c r="S43" t="s">
        <v>1268</v>
      </c>
      <c r="T43" s="26">
        <v>0.9</v>
      </c>
      <c r="U43" s="26">
        <v>0.96</v>
      </c>
    </row>
    <row r="44" spans="3:21" x14ac:dyDescent="0.3">
      <c r="D44">
        <f t="shared" si="4"/>
        <v>6100</v>
      </c>
      <c r="E44">
        <f t="shared" ref="E44:E49" si="6">E43+500</f>
        <v>6599</v>
      </c>
      <c r="F44" s="6" t="str">
        <f t="shared" si="5"/>
        <v>6100 - 6599</v>
      </c>
      <c r="S44" t="s">
        <v>1267</v>
      </c>
      <c r="T44" s="26">
        <v>0.97</v>
      </c>
      <c r="U44" s="26">
        <v>1</v>
      </c>
    </row>
    <row r="45" spans="3:21" x14ac:dyDescent="0.3">
      <c r="D45">
        <f>D44+500</f>
        <v>6600</v>
      </c>
      <c r="E45">
        <f t="shared" si="6"/>
        <v>7099</v>
      </c>
      <c r="F45" s="6" t="str">
        <f t="shared" si="5"/>
        <v>6600 - 7099</v>
      </c>
    </row>
    <row r="46" spans="3:21" x14ac:dyDescent="0.3">
      <c r="D46">
        <f t="shared" si="4"/>
        <v>7100</v>
      </c>
      <c r="E46">
        <f t="shared" si="6"/>
        <v>7599</v>
      </c>
      <c r="F46" s="6" t="str">
        <f t="shared" si="5"/>
        <v>7100 - 7599</v>
      </c>
    </row>
    <row r="47" spans="3:21" x14ac:dyDescent="0.3">
      <c r="D47">
        <f t="shared" si="4"/>
        <v>7600</v>
      </c>
      <c r="E47">
        <f t="shared" si="6"/>
        <v>8099</v>
      </c>
      <c r="F47" s="6" t="str">
        <f t="shared" si="5"/>
        <v>7600 - 8099</v>
      </c>
    </row>
    <row r="48" spans="3:21" x14ac:dyDescent="0.3">
      <c r="D48">
        <f t="shared" si="4"/>
        <v>8100</v>
      </c>
      <c r="E48">
        <f t="shared" si="6"/>
        <v>8599</v>
      </c>
      <c r="F48" s="6" t="str">
        <f t="shared" si="5"/>
        <v>8100 - 8599</v>
      </c>
    </row>
    <row r="49" spans="1:6" x14ac:dyDescent="0.3">
      <c r="D49">
        <f t="shared" si="4"/>
        <v>8600</v>
      </c>
      <c r="E49">
        <f t="shared" si="6"/>
        <v>9099</v>
      </c>
      <c r="F49" s="6" t="str">
        <f>D49&amp; " - "&amp;E49</f>
        <v>8600 - 9099</v>
      </c>
    </row>
    <row r="51" spans="1:6" x14ac:dyDescent="0.3">
      <c r="D51" t="s">
        <v>1234</v>
      </c>
    </row>
    <row r="52" spans="1:6" x14ac:dyDescent="0.3">
      <c r="A52" t="s">
        <v>350</v>
      </c>
    </row>
    <row r="53" spans="1:6" x14ac:dyDescent="0.3">
      <c r="B53" t="s">
        <v>61</v>
      </c>
    </row>
    <row r="54" spans="1:6" x14ac:dyDescent="0.3">
      <c r="B54" t="s">
        <v>62</v>
      </c>
    </row>
    <row r="55" spans="1:6" x14ac:dyDescent="0.3">
      <c r="B55" t="s">
        <v>63</v>
      </c>
    </row>
    <row r="56" spans="1:6" x14ac:dyDescent="0.3">
      <c r="B56" t="s">
        <v>64</v>
      </c>
    </row>
    <row r="58" spans="1:6" x14ac:dyDescent="0.3">
      <c r="A58" t="s">
        <v>351</v>
      </c>
    </row>
    <row r="59" spans="1:6" x14ac:dyDescent="0.3">
      <c r="B59" t="s">
        <v>38</v>
      </c>
    </row>
    <row r="60" spans="1:6" x14ac:dyDescent="0.3">
      <c r="B60" t="s">
        <v>34</v>
      </c>
    </row>
  </sheetData>
  <mergeCells count="3">
    <mergeCell ref="D22:F22"/>
    <mergeCell ref="J23:K23"/>
    <mergeCell ref="I22:K2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sheetPr>
  <dimension ref="B2:O70"/>
  <sheetViews>
    <sheetView topLeftCell="A13" workbookViewId="0">
      <selection activeCell="G39" sqref="G39"/>
    </sheetView>
  </sheetViews>
  <sheetFormatPr defaultColWidth="8.88671875" defaultRowHeight="14.4" x14ac:dyDescent="0.3"/>
  <cols>
    <col min="2" max="2" width="72.6640625" bestFit="1" customWidth="1"/>
    <col min="3" max="3" width="10.5546875" bestFit="1" customWidth="1"/>
    <col min="4" max="4" width="8" bestFit="1" customWidth="1"/>
    <col min="5" max="5" width="9.33203125" bestFit="1" customWidth="1"/>
    <col min="6" max="6" width="8.33203125" bestFit="1" customWidth="1"/>
    <col min="7" max="7" width="12.33203125" bestFit="1" customWidth="1"/>
    <col min="9" max="9" width="8" bestFit="1" customWidth="1"/>
  </cols>
  <sheetData>
    <row r="2" spans="2:3" x14ac:dyDescent="0.3">
      <c r="B2" s="29" t="s">
        <v>538</v>
      </c>
    </row>
    <row r="3" spans="2:3" x14ac:dyDescent="0.3">
      <c r="B3" s="19" t="s">
        <v>539</v>
      </c>
      <c r="C3" s="21">
        <v>0.3</v>
      </c>
    </row>
    <row r="4" spans="2:3" x14ac:dyDescent="0.3">
      <c r="B4" s="19" t="s">
        <v>540</v>
      </c>
      <c r="C4" s="21">
        <v>0.9</v>
      </c>
    </row>
    <row r="5" spans="2:3" x14ac:dyDescent="0.3">
      <c r="B5" s="67" t="s">
        <v>541</v>
      </c>
      <c r="C5" s="68">
        <v>0.9</v>
      </c>
    </row>
    <row r="6" spans="2:3" x14ac:dyDescent="0.3">
      <c r="B6" s="19" t="s">
        <v>542</v>
      </c>
      <c r="C6" s="21">
        <v>0.08</v>
      </c>
    </row>
    <row r="7" spans="2:3" x14ac:dyDescent="0.3">
      <c r="B7" s="19" t="s">
        <v>543</v>
      </c>
      <c r="C7" s="21">
        <v>0.1</v>
      </c>
    </row>
    <row r="8" spans="2:3" x14ac:dyDescent="0.3">
      <c r="B8" s="20" t="s">
        <v>544</v>
      </c>
      <c r="C8" s="21">
        <v>0.09</v>
      </c>
    </row>
    <row r="9" spans="2:3" x14ac:dyDescent="0.3">
      <c r="B9" s="20" t="s">
        <v>545</v>
      </c>
      <c r="C9" s="21">
        <v>0.05</v>
      </c>
    </row>
    <row r="10" spans="2:3" x14ac:dyDescent="0.3">
      <c r="B10" s="20" t="s">
        <v>546</v>
      </c>
      <c r="C10" s="21">
        <v>0.1</v>
      </c>
    </row>
    <row r="11" spans="2:3" x14ac:dyDescent="0.3">
      <c r="B11" s="20" t="s">
        <v>547</v>
      </c>
      <c r="C11" s="21">
        <v>0.2</v>
      </c>
    </row>
    <row r="12" spans="2:3" x14ac:dyDescent="0.3">
      <c r="B12" s="20" t="s">
        <v>548</v>
      </c>
      <c r="C12" s="21">
        <v>0.1</v>
      </c>
    </row>
    <row r="13" spans="2:3" x14ac:dyDescent="0.3">
      <c r="B13" s="20" t="s">
        <v>549</v>
      </c>
      <c r="C13" s="17">
        <v>0.1</v>
      </c>
    </row>
    <row r="14" spans="2:3" x14ac:dyDescent="0.3">
      <c r="B14" s="20" t="s">
        <v>550</v>
      </c>
      <c r="C14" s="24">
        <v>12.7</v>
      </c>
    </row>
    <row r="15" spans="2:3" x14ac:dyDescent="0.3">
      <c r="B15" s="20" t="s">
        <v>1284</v>
      </c>
      <c r="C15" s="17">
        <v>0.15</v>
      </c>
    </row>
    <row r="16" spans="2:3" x14ac:dyDescent="0.3">
      <c r="B16" s="20" t="s">
        <v>1285</v>
      </c>
      <c r="C16" s="17">
        <v>0.25</v>
      </c>
    </row>
    <row r="17" spans="2:7" x14ac:dyDescent="0.3">
      <c r="B17" s="20" t="s">
        <v>551</v>
      </c>
      <c r="C17" s="13">
        <v>2500</v>
      </c>
    </row>
    <row r="18" spans="2:7" x14ac:dyDescent="0.3">
      <c r="B18" s="20" t="s">
        <v>552</v>
      </c>
      <c r="C18" s="13">
        <v>150</v>
      </c>
    </row>
    <row r="19" spans="2:7" x14ac:dyDescent="0.3">
      <c r="B19" s="20" t="s">
        <v>553</v>
      </c>
      <c r="C19" s="13">
        <v>700</v>
      </c>
    </row>
    <row r="20" spans="2:7" x14ac:dyDescent="0.3">
      <c r="B20" s="20" t="s">
        <v>554</v>
      </c>
      <c r="C20" s="13">
        <v>90</v>
      </c>
    </row>
    <row r="21" spans="2:7" x14ac:dyDescent="0.3">
      <c r="B21" s="20" t="s">
        <v>555</v>
      </c>
      <c r="C21" t="s">
        <v>181</v>
      </c>
      <c r="D21" t="s">
        <v>341</v>
      </c>
      <c r="E21" t="s">
        <v>345</v>
      </c>
      <c r="F21" t="s">
        <v>346</v>
      </c>
      <c r="G21" t="s">
        <v>348</v>
      </c>
    </row>
    <row r="22" spans="2:7" x14ac:dyDescent="0.3">
      <c r="C22" s="17">
        <v>-0.02</v>
      </c>
      <c r="D22" s="17">
        <v>0</v>
      </c>
      <c r="E22" s="17">
        <v>0.05</v>
      </c>
      <c r="F22" s="17">
        <v>0.1</v>
      </c>
      <c r="G22" s="17">
        <v>0.15</v>
      </c>
    </row>
    <row r="23" spans="2:7" x14ac:dyDescent="0.3">
      <c r="B23" s="20" t="s">
        <v>556</v>
      </c>
      <c r="C23" t="s">
        <v>181</v>
      </c>
      <c r="D23" t="s">
        <v>341</v>
      </c>
      <c r="E23" t="s">
        <v>345</v>
      </c>
      <c r="F23" t="s">
        <v>346</v>
      </c>
      <c r="G23" t="s">
        <v>348</v>
      </c>
    </row>
    <row r="24" spans="2:7" x14ac:dyDescent="0.3">
      <c r="B24" s="20"/>
      <c r="C24" s="17">
        <v>-0.06</v>
      </c>
      <c r="D24" s="17">
        <v>0</v>
      </c>
      <c r="E24" s="17">
        <v>0.15</v>
      </c>
      <c r="F24" s="17">
        <v>0.3</v>
      </c>
      <c r="G24" s="17">
        <v>0.45</v>
      </c>
    </row>
    <row r="25" spans="2:7" x14ac:dyDescent="0.3">
      <c r="B25" s="20" t="s">
        <v>557</v>
      </c>
      <c r="C25" t="s">
        <v>181</v>
      </c>
      <c r="D25" t="s">
        <v>341</v>
      </c>
      <c r="E25" t="s">
        <v>345</v>
      </c>
      <c r="F25" t="s">
        <v>346</v>
      </c>
      <c r="G25" t="s">
        <v>348</v>
      </c>
    </row>
    <row r="26" spans="2:7" x14ac:dyDescent="0.3">
      <c r="C26" s="17">
        <v>-0.06</v>
      </c>
      <c r="D26" s="17">
        <v>0</v>
      </c>
      <c r="E26" s="17">
        <v>0.15</v>
      </c>
      <c r="F26" s="17">
        <v>0.45</v>
      </c>
      <c r="G26" s="17">
        <v>0.75</v>
      </c>
    </row>
    <row r="28" spans="2:7" x14ac:dyDescent="0.3">
      <c r="B28" s="20" t="s">
        <v>558</v>
      </c>
      <c r="C28" t="s">
        <v>339</v>
      </c>
      <c r="D28" t="s">
        <v>342</v>
      </c>
      <c r="E28" t="s">
        <v>36</v>
      </c>
      <c r="F28" t="s">
        <v>347</v>
      </c>
      <c r="G28" t="s">
        <v>349</v>
      </c>
    </row>
    <row r="29" spans="2:7" x14ac:dyDescent="0.3">
      <c r="C29" s="17">
        <v>-0.1</v>
      </c>
      <c r="D29" s="17">
        <v>-0.05</v>
      </c>
      <c r="E29" s="17">
        <v>0</v>
      </c>
      <c r="F29" s="17">
        <v>0.4</v>
      </c>
      <c r="G29" s="17">
        <v>1</v>
      </c>
    </row>
    <row r="30" spans="2:7" x14ac:dyDescent="0.3">
      <c r="B30" s="20" t="s">
        <v>559</v>
      </c>
      <c r="C30" t="s">
        <v>339</v>
      </c>
      <c r="D30" t="s">
        <v>342</v>
      </c>
      <c r="E30" t="s">
        <v>36</v>
      </c>
      <c r="F30" t="s">
        <v>347</v>
      </c>
      <c r="G30" t="s">
        <v>349</v>
      </c>
    </row>
    <row r="31" spans="2:7" x14ac:dyDescent="0.3">
      <c r="B31" s="20"/>
      <c r="C31" s="17">
        <v>-0.04</v>
      </c>
      <c r="D31" s="17">
        <v>-0.02</v>
      </c>
      <c r="E31" s="17">
        <v>0</v>
      </c>
      <c r="F31" s="17">
        <v>0.1</v>
      </c>
      <c r="G31" s="17">
        <v>0.4</v>
      </c>
    </row>
    <row r="32" spans="2:7" x14ac:dyDescent="0.3">
      <c r="B32" s="20" t="s">
        <v>560</v>
      </c>
      <c r="C32" t="s">
        <v>339</v>
      </c>
      <c r="D32" t="s">
        <v>342</v>
      </c>
      <c r="E32" t="s">
        <v>36</v>
      </c>
      <c r="F32" t="s">
        <v>347</v>
      </c>
      <c r="G32" t="s">
        <v>349</v>
      </c>
    </row>
    <row r="33" spans="2:12" x14ac:dyDescent="0.3">
      <c r="C33" s="17">
        <v>-0.02</v>
      </c>
      <c r="D33" s="17">
        <v>-0.01</v>
      </c>
      <c r="E33" s="17">
        <v>0</v>
      </c>
      <c r="F33" s="17">
        <v>0.05</v>
      </c>
      <c r="G33" s="17">
        <v>0.2</v>
      </c>
    </row>
    <row r="34" spans="2:12" x14ac:dyDescent="0.3">
      <c r="B34" t="s">
        <v>901</v>
      </c>
      <c r="C34" s="14">
        <v>3.5</v>
      </c>
      <c r="D34" s="17"/>
      <c r="E34" s="17"/>
      <c r="F34" s="17"/>
      <c r="G34" s="17"/>
    </row>
    <row r="35" spans="2:12" x14ac:dyDescent="0.3">
      <c r="B35" s="20" t="s">
        <v>1269</v>
      </c>
      <c r="C35" t="s">
        <v>1267</v>
      </c>
      <c r="D35" t="s">
        <v>1268</v>
      </c>
      <c r="E35" t="s">
        <v>1259</v>
      </c>
      <c r="F35" t="s">
        <v>1260</v>
      </c>
      <c r="G35" t="s">
        <v>1261</v>
      </c>
      <c r="H35" t="s">
        <v>1262</v>
      </c>
      <c r="I35" t="s">
        <v>1263</v>
      </c>
      <c r="J35" t="s">
        <v>1264</v>
      </c>
      <c r="K35" t="s">
        <v>1265</v>
      </c>
      <c r="L35" t="s">
        <v>1266</v>
      </c>
    </row>
    <row r="36" spans="2:12" x14ac:dyDescent="0.3">
      <c r="B36" s="20"/>
      <c r="C36" s="17">
        <v>0.97</v>
      </c>
      <c r="D36" s="17">
        <v>0.9</v>
      </c>
      <c r="E36" s="17">
        <v>0.83</v>
      </c>
      <c r="F36" s="17">
        <v>0.75</v>
      </c>
      <c r="G36" s="17">
        <v>0.65</v>
      </c>
      <c r="H36" s="17">
        <v>0.5</v>
      </c>
      <c r="I36" s="17">
        <v>0.4</v>
      </c>
      <c r="J36" s="17">
        <v>0.3</v>
      </c>
      <c r="K36" s="17">
        <v>0.2</v>
      </c>
      <c r="L36" s="17">
        <v>0.1</v>
      </c>
    </row>
    <row r="37" spans="2:12" x14ac:dyDescent="0.3">
      <c r="C37" s="17"/>
      <c r="D37" s="17"/>
      <c r="E37" s="17"/>
      <c r="F37" s="17"/>
      <c r="G37" s="17"/>
    </row>
    <row r="38" spans="2:12" x14ac:dyDescent="0.3">
      <c r="C38" s="17"/>
      <c r="D38" s="17"/>
      <c r="E38" s="17"/>
      <c r="F38" s="17"/>
      <c r="G38" s="17"/>
    </row>
    <row r="39" spans="2:12" x14ac:dyDescent="0.3">
      <c r="C39" s="17"/>
      <c r="D39" s="17"/>
      <c r="E39" s="17"/>
      <c r="F39" s="17"/>
      <c r="G39" s="17"/>
    </row>
    <row r="41" spans="2:12" x14ac:dyDescent="0.3">
      <c r="B41" s="29" t="s">
        <v>561</v>
      </c>
    </row>
    <row r="42" spans="2:12" x14ac:dyDescent="0.3">
      <c r="B42" t="s">
        <v>562</v>
      </c>
      <c r="C42" s="17">
        <v>7.0000000000000007E-2</v>
      </c>
    </row>
    <row r="43" spans="2:12" x14ac:dyDescent="0.3">
      <c r="B43" t="s">
        <v>563</v>
      </c>
      <c r="C43" s="17">
        <v>0.1</v>
      </c>
    </row>
    <row r="44" spans="2:12" x14ac:dyDescent="0.3">
      <c r="B44" t="s">
        <v>564</v>
      </c>
      <c r="C44" t="s">
        <v>35</v>
      </c>
      <c r="D44" t="s">
        <v>341</v>
      </c>
      <c r="E44" t="s">
        <v>345</v>
      </c>
      <c r="F44" t="s">
        <v>346</v>
      </c>
      <c r="G44" t="s">
        <v>348</v>
      </c>
    </row>
    <row r="45" spans="2:12" x14ac:dyDescent="0.3">
      <c r="C45" s="17">
        <v>-0.02</v>
      </c>
      <c r="D45" s="17">
        <v>0</v>
      </c>
      <c r="E45" s="17">
        <v>0.05</v>
      </c>
      <c r="F45" s="17">
        <v>0.1</v>
      </c>
      <c r="G45" s="17">
        <v>0.15</v>
      </c>
    </row>
    <row r="47" spans="2:12" x14ac:dyDescent="0.3">
      <c r="I47" s="17">
        <v>-0.02</v>
      </c>
    </row>
    <row r="48" spans="2:12" x14ac:dyDescent="0.3">
      <c r="C48" s="17" t="s">
        <v>565</v>
      </c>
      <c r="I48" s="17">
        <v>0</v>
      </c>
    </row>
    <row r="49" spans="2:9" x14ac:dyDescent="0.3">
      <c r="C49" s="34">
        <v>1</v>
      </c>
      <c r="D49" s="34">
        <v>2</v>
      </c>
      <c r="E49" s="34">
        <v>3</v>
      </c>
      <c r="F49" s="34">
        <v>4</v>
      </c>
      <c r="G49" s="34">
        <v>5</v>
      </c>
      <c r="I49" s="17">
        <v>0.05</v>
      </c>
    </row>
    <row r="50" spans="2:9" x14ac:dyDescent="0.3">
      <c r="C50" t="s">
        <v>565</v>
      </c>
      <c r="D50" t="s">
        <v>566</v>
      </c>
      <c r="E50" t="s">
        <v>567</v>
      </c>
      <c r="F50" t="s">
        <v>568</v>
      </c>
      <c r="G50" t="s">
        <v>569</v>
      </c>
      <c r="I50" s="17">
        <v>0.1</v>
      </c>
    </row>
    <row r="51" spans="2:9" x14ac:dyDescent="0.3">
      <c r="C51" t="s">
        <v>566</v>
      </c>
      <c r="I51" s="17">
        <v>0.15</v>
      </c>
    </row>
    <row r="52" spans="2:9" x14ac:dyDescent="0.3">
      <c r="C52" s="34">
        <f>LOOKUP(C51, C50:G50, C49:G49)</f>
        <v>5</v>
      </c>
    </row>
    <row r="53" spans="2:9" x14ac:dyDescent="0.3">
      <c r="C53" t="e">
        <f>LOOKUP(C48, C49:G49, C50:G50)</f>
        <v>#N/A</v>
      </c>
    </row>
    <row r="54" spans="2:9" x14ac:dyDescent="0.3">
      <c r="B54" t="s">
        <v>570</v>
      </c>
      <c r="C54" t="s">
        <v>571</v>
      </c>
      <c r="D54" t="s">
        <v>572</v>
      </c>
      <c r="E54" t="s">
        <v>573</v>
      </c>
      <c r="F54" t="s">
        <v>574</v>
      </c>
    </row>
    <row r="55" spans="2:9" x14ac:dyDescent="0.3">
      <c r="C55">
        <v>0</v>
      </c>
      <c r="D55" s="17">
        <v>0.1</v>
      </c>
      <c r="E55" s="17">
        <v>0.25</v>
      </c>
      <c r="F55" s="17">
        <v>1</v>
      </c>
    </row>
    <row r="56" spans="2:9" x14ac:dyDescent="0.3">
      <c r="B56" t="s">
        <v>575</v>
      </c>
      <c r="C56" t="s">
        <v>571</v>
      </c>
      <c r="D56" t="s">
        <v>572</v>
      </c>
      <c r="E56" t="s">
        <v>573</v>
      </c>
      <c r="F56" t="s">
        <v>574</v>
      </c>
    </row>
    <row r="57" spans="2:9" x14ac:dyDescent="0.3">
      <c r="C57">
        <v>0</v>
      </c>
      <c r="D57" s="17">
        <v>0.1</v>
      </c>
      <c r="E57" s="17">
        <v>0.25</v>
      </c>
      <c r="F57" s="17">
        <v>1</v>
      </c>
    </row>
    <row r="58" spans="2:9" x14ac:dyDescent="0.3">
      <c r="B58" t="s">
        <v>576</v>
      </c>
      <c r="C58" t="s">
        <v>571</v>
      </c>
      <c r="D58" t="s">
        <v>572</v>
      </c>
      <c r="E58" t="s">
        <v>573</v>
      </c>
      <c r="F58" t="s">
        <v>574</v>
      </c>
    </row>
    <row r="59" spans="2:9" x14ac:dyDescent="0.3">
      <c r="C59">
        <v>0</v>
      </c>
      <c r="D59" s="17">
        <v>0.25</v>
      </c>
      <c r="E59" s="17">
        <v>0.33</v>
      </c>
      <c r="F59" s="17">
        <v>0.5</v>
      </c>
    </row>
    <row r="60" spans="2:9" x14ac:dyDescent="0.3">
      <c r="B60" t="s">
        <v>577</v>
      </c>
      <c r="C60" t="s">
        <v>571</v>
      </c>
      <c r="D60" t="s">
        <v>572</v>
      </c>
      <c r="E60" t="s">
        <v>573</v>
      </c>
      <c r="F60" t="s">
        <v>574</v>
      </c>
    </row>
    <row r="61" spans="2:9" x14ac:dyDescent="0.3">
      <c r="C61">
        <v>0</v>
      </c>
      <c r="D61" s="17">
        <v>0.25</v>
      </c>
      <c r="E61" s="17">
        <v>0.33</v>
      </c>
      <c r="F61" s="17">
        <v>0.5</v>
      </c>
    </row>
    <row r="62" spans="2:9" x14ac:dyDescent="0.3">
      <c r="B62" t="s">
        <v>612</v>
      </c>
      <c r="C62" t="s">
        <v>571</v>
      </c>
      <c r="D62" t="s">
        <v>572</v>
      </c>
      <c r="E62" t="s">
        <v>573</v>
      </c>
      <c r="F62" t="s">
        <v>574</v>
      </c>
    </row>
    <row r="63" spans="2:9" x14ac:dyDescent="0.3">
      <c r="C63" s="8">
        <v>0.5</v>
      </c>
      <c r="D63" s="8">
        <v>0.75</v>
      </c>
      <c r="E63" s="8">
        <v>2</v>
      </c>
      <c r="F63" s="8">
        <v>3</v>
      </c>
    </row>
    <row r="64" spans="2:9" x14ac:dyDescent="0.3">
      <c r="B64" t="s">
        <v>643</v>
      </c>
      <c r="C64" s="13">
        <v>375</v>
      </c>
    </row>
    <row r="65" spans="2:15" x14ac:dyDescent="0.3">
      <c r="B65" t="s">
        <v>644</v>
      </c>
      <c r="C65">
        <v>2700</v>
      </c>
      <c r="D65">
        <f>C65+500</f>
        <v>3200</v>
      </c>
      <c r="E65">
        <f t="shared" ref="E65:O65" si="0">D65+500</f>
        <v>3700</v>
      </c>
      <c r="F65">
        <f t="shared" si="0"/>
        <v>4200</v>
      </c>
      <c r="G65">
        <f t="shared" si="0"/>
        <v>4700</v>
      </c>
      <c r="H65">
        <f t="shared" si="0"/>
        <v>5200</v>
      </c>
      <c r="I65">
        <f t="shared" si="0"/>
        <v>5700</v>
      </c>
      <c r="J65">
        <f t="shared" si="0"/>
        <v>6200</v>
      </c>
      <c r="K65">
        <f t="shared" si="0"/>
        <v>6700</v>
      </c>
      <c r="L65">
        <f t="shared" si="0"/>
        <v>7200</v>
      </c>
      <c r="M65">
        <f t="shared" si="0"/>
        <v>7700</v>
      </c>
      <c r="N65">
        <f t="shared" si="0"/>
        <v>8200</v>
      </c>
      <c r="O65">
        <f t="shared" si="0"/>
        <v>8700</v>
      </c>
    </row>
    <row r="66" spans="2:15" x14ac:dyDescent="0.3">
      <c r="C66">
        <v>20</v>
      </c>
      <c r="D66">
        <v>23</v>
      </c>
      <c r="E66">
        <v>26</v>
      </c>
      <c r="F66">
        <v>28</v>
      </c>
      <c r="G66">
        <v>30</v>
      </c>
      <c r="H66">
        <f>G66+2</f>
        <v>32</v>
      </c>
      <c r="I66">
        <f t="shared" ref="I66:O66" si="1">H66+2</f>
        <v>34</v>
      </c>
      <c r="J66">
        <f t="shared" si="1"/>
        <v>36</v>
      </c>
      <c r="K66">
        <f t="shared" si="1"/>
        <v>38</v>
      </c>
      <c r="L66">
        <f t="shared" si="1"/>
        <v>40</v>
      </c>
      <c r="M66">
        <f t="shared" si="1"/>
        <v>42</v>
      </c>
      <c r="N66">
        <f t="shared" si="1"/>
        <v>44</v>
      </c>
      <c r="O66">
        <f t="shared" si="1"/>
        <v>46</v>
      </c>
    </row>
    <row r="67" spans="2:15" x14ac:dyDescent="0.3">
      <c r="B67" t="s">
        <v>1246</v>
      </c>
      <c r="C67" s="13">
        <v>75</v>
      </c>
    </row>
    <row r="68" spans="2:15" x14ac:dyDescent="0.3">
      <c r="B68" t="s">
        <v>1247</v>
      </c>
      <c r="C68" s="13">
        <v>9</v>
      </c>
    </row>
    <row r="69" spans="2:15" x14ac:dyDescent="0.3">
      <c r="B69" t="s">
        <v>1320</v>
      </c>
      <c r="C69" s="16">
        <v>70</v>
      </c>
    </row>
    <row r="70" spans="2:15" x14ac:dyDescent="0.3">
      <c r="B70" t="s">
        <v>1353</v>
      </c>
      <c r="C70" s="14">
        <v>2.8</v>
      </c>
    </row>
  </sheetData>
  <pageMargins left="0.7" right="0.7" top="0.75" bottom="0.75" header="0.3" footer="0.3"/>
  <pageSetup orientation="portrait" horizontalDpi="4294967293" verticalDpi="12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autoPageBreaks="0"/>
  </sheetPr>
  <dimension ref="B2:AK73"/>
  <sheetViews>
    <sheetView topLeftCell="L1" workbookViewId="0">
      <selection activeCell="V18" sqref="V18"/>
    </sheetView>
  </sheetViews>
  <sheetFormatPr defaultColWidth="8.88671875" defaultRowHeight="14.4" x14ac:dyDescent="0.3"/>
  <cols>
    <col min="2" max="2" width="14" bestFit="1" customWidth="1"/>
    <col min="3" max="3" width="22.6640625" bestFit="1" customWidth="1"/>
    <col min="4" max="4" width="11.109375" bestFit="1" customWidth="1"/>
    <col min="5" max="5" width="23.5546875" bestFit="1" customWidth="1"/>
    <col min="6" max="6" width="17.109375" bestFit="1" customWidth="1"/>
    <col min="7" max="7" width="19.44140625" bestFit="1" customWidth="1"/>
    <col min="8" max="8" width="21.88671875" bestFit="1" customWidth="1"/>
    <col min="9" max="9" width="10.88671875" bestFit="1" customWidth="1"/>
    <col min="10" max="10" width="12.109375" bestFit="1" customWidth="1"/>
    <col min="11" max="11" width="18.6640625" bestFit="1" customWidth="1"/>
    <col min="12" max="12" width="25.33203125" bestFit="1" customWidth="1"/>
    <col min="13" max="13" width="18.6640625" customWidth="1"/>
    <col min="14" max="14" width="12.6640625" bestFit="1" customWidth="1"/>
    <col min="15" max="15" width="12.6640625" customWidth="1"/>
    <col min="16" max="16" width="21.6640625" bestFit="1" customWidth="1"/>
    <col min="17" max="17" width="41.44140625" bestFit="1" customWidth="1"/>
    <col min="18" max="19" width="21.6640625" customWidth="1"/>
    <col min="20" max="20" width="59.88671875" bestFit="1" customWidth="1"/>
    <col min="21" max="21" width="26.6640625" bestFit="1" customWidth="1"/>
    <col min="22" max="23" width="24.33203125" bestFit="1" customWidth="1"/>
    <col min="24" max="24" width="21.88671875" bestFit="1" customWidth="1"/>
    <col min="25" max="25" width="32.33203125" bestFit="1" customWidth="1"/>
    <col min="26" max="26" width="35.33203125" bestFit="1" customWidth="1"/>
    <col min="27" max="27" width="36.33203125" bestFit="1" customWidth="1"/>
    <col min="28" max="28" width="14.21875" customWidth="1"/>
    <col min="29" max="29" width="49.6640625" bestFit="1" customWidth="1"/>
    <col min="30" max="31" width="49.6640625" customWidth="1"/>
    <col min="32" max="32" width="31.5546875" bestFit="1" customWidth="1"/>
    <col min="33" max="33" width="8.44140625" bestFit="1" customWidth="1"/>
    <col min="34" max="34" width="48.109375" bestFit="1" customWidth="1"/>
    <col min="35" max="35" width="32.33203125" bestFit="1" customWidth="1"/>
    <col min="36" max="36" width="24.44140625" bestFit="1" customWidth="1"/>
  </cols>
  <sheetData>
    <row r="2" spans="2:37" x14ac:dyDescent="0.3">
      <c r="B2" t="s">
        <v>352</v>
      </c>
      <c r="C2" s="2">
        <f>'Defaults and Ranges'!C2+SUM(C7:AJ7)</f>
        <v>315000</v>
      </c>
    </row>
    <row r="3" spans="2:37" x14ac:dyDescent="0.3">
      <c r="B3" t="s">
        <v>353</v>
      </c>
      <c r="C3" s="2">
        <f>'Defaults and Ranges'!C1+SUM(C6:AJ6)</f>
        <v>393750</v>
      </c>
    </row>
    <row r="4" spans="2:37" x14ac:dyDescent="0.3">
      <c r="B4" t="s">
        <v>354</v>
      </c>
      <c r="C4" s="10">
        <f>C3-C2</f>
        <v>78750</v>
      </c>
    </row>
    <row r="6" spans="2:37" x14ac:dyDescent="0.3">
      <c r="B6" t="s">
        <v>353</v>
      </c>
      <c r="C6" s="2">
        <f>C7*IF(C7&gt;0, (1+Inputs!$C$15), 1)</f>
        <v>0</v>
      </c>
      <c r="D6" s="2">
        <f>D7*IF(D7&gt;0, (1+Inputs!$C$15), 1)</f>
        <v>0</v>
      </c>
      <c r="E6" s="2">
        <f>E7*IF(E7&gt;0, (1+Inputs!$C$15), 1)</f>
        <v>0</v>
      </c>
      <c r="F6" s="2">
        <f>F7*IF(F7&gt;0, (1+Inputs!$C$15), 1)</f>
        <v>0</v>
      </c>
      <c r="G6" s="2">
        <f>G7*IF(G7&gt;0, (1+Inputs!$C$15), 1)</f>
        <v>0</v>
      </c>
      <c r="H6" s="2">
        <f>H7*IF(H7&gt;0, (1+Inputs!$C$15), 1)</f>
        <v>0</v>
      </c>
      <c r="I6" s="2">
        <f>I7*IF(I7&gt;0, (1+Inputs!$C$15), 1)</f>
        <v>0</v>
      </c>
      <c r="J6" s="2">
        <f>J7*IF(J7&gt;0, (1+Inputs!$C$15), 1)</f>
        <v>0</v>
      </c>
      <c r="K6" s="2">
        <f>K7*IF(K7&gt;0, (1+Inputs!$C$15), 1)</f>
        <v>0</v>
      </c>
      <c r="L6" s="2">
        <f>L7*IF(L7&gt;0, (1+Inputs!$C$15), 1)</f>
        <v>0</v>
      </c>
      <c r="M6" s="2">
        <f>M7*IF(M7&gt;0, (1+Inputs!$C$15), 1)</f>
        <v>0</v>
      </c>
      <c r="N6" s="2">
        <f>N7*IF(N7&gt;0, (1+Inputs!$C$15), 1)</f>
        <v>0</v>
      </c>
      <c r="O6" s="2">
        <f>O7*IF(O7&gt;0, (1+Inputs!$C$15), 1)</f>
        <v>0</v>
      </c>
      <c r="P6" s="2">
        <f>P7*IF(P7&gt;0, (1+Inputs!$C$15), 1)</f>
        <v>0</v>
      </c>
      <c r="Q6" s="2">
        <f>Q7*IF(Q7&gt;0, (1+Inputs!$C$15), 1)</f>
        <v>0</v>
      </c>
      <c r="R6" s="2">
        <f>R7*IF(R7&gt;0, (1+Inputs!$C$15), 1)</f>
        <v>0</v>
      </c>
      <c r="S6" s="2">
        <f>S7*IF(S7&gt;0, (1+Inputs!$C$15), 1)</f>
        <v>0</v>
      </c>
      <c r="T6" s="2">
        <f>T7*IF(T7&gt;0, (1+Inputs!$C$15), 1)</f>
        <v>0</v>
      </c>
      <c r="U6" s="2">
        <f>U7*IF(U7&gt;0, (1+Inputs!$C$15), 1)</f>
        <v>0</v>
      </c>
      <c r="V6" s="2">
        <f>V7*IF(V7&gt;0, (1+Inputs!$C$15), 1)</f>
        <v>0</v>
      </c>
      <c r="W6" s="2">
        <f>W7*IF(W7&gt;0, (1+Inputs!$C$15), 1)</f>
        <v>0</v>
      </c>
      <c r="X6" s="2">
        <f>X7*IF(X7&gt;0, (1+Inputs!$C$15), 1)</f>
        <v>0</v>
      </c>
      <c r="Y6" s="2">
        <f>Y7*IF(Y7&gt;0, (1+Inputs!$C$15), 1)</f>
        <v>0</v>
      </c>
      <c r="Z6" s="2">
        <f>Z7*IF(Z7&gt;0, (1+Inputs!$C$15), 1)</f>
        <v>0</v>
      </c>
      <c r="AA6" s="2">
        <f>AA7*IF(AA7&gt;0, (1+Inputs!$C$15), 1)</f>
        <v>0</v>
      </c>
      <c r="AB6" s="2"/>
      <c r="AC6" s="2">
        <f>AC7*IF(AC7&gt;0, (1+Inputs!$C$15), 1)</f>
        <v>0</v>
      </c>
      <c r="AD6" s="2">
        <f>AD7*IF(AD7&gt;0, (1+Inputs!$C$15), 1)</f>
        <v>0</v>
      </c>
      <c r="AE6" s="2">
        <f>AE7*IF(AE7&gt;0, (1+Inputs!$C$15), 1)</f>
        <v>0</v>
      </c>
      <c r="AF6" s="2">
        <f>AF7*IF(AF7&gt;0, (1+Inputs!$C$15), 1)</f>
        <v>0</v>
      </c>
      <c r="AG6" s="2"/>
      <c r="AH6" s="2">
        <f>AH7*IF(AH7&gt;0, (1+Inputs!$C$15), 1)</f>
        <v>0</v>
      </c>
      <c r="AI6" s="2">
        <f>AI7*IF(AI7&gt;0, (1+Inputs!$C$15), 1)</f>
        <v>0</v>
      </c>
      <c r="AJ6" s="2">
        <f>AJ7*IF(AJ7&gt;0, (1+Inputs!$C$15), 1)</f>
        <v>0</v>
      </c>
      <c r="AK6" s="2">
        <f>AK7*IF(AK7&gt;0, (1+Inputs!$C$15), 1)</f>
        <v>0</v>
      </c>
    </row>
    <row r="7" spans="2:37" s="2" customFormat="1" x14ac:dyDescent="0.3">
      <c r="B7" s="2" t="s">
        <v>352</v>
      </c>
      <c r="C7" s="2">
        <f>(C10-'Defaults and Ranges'!B6)*C12</f>
        <v>0</v>
      </c>
      <c r="D7" s="2">
        <f>(D10-'Defaults and Ranges'!C6)*D12</f>
        <v>0</v>
      </c>
      <c r="E7" s="2">
        <f>E12*(LOOKUP(E10, 'Defaults and Ranges'!F24:F49, 'Defaults and Ranges'!E24:E49)-'Defaults and Ranges'!D7)</f>
        <v>0</v>
      </c>
      <c r="F7" s="2">
        <f>IF('Attributes Inputs and Outputs'!E8='Defaults and Ranges'!G6,0,IF('Defaults and Ranges'!G6='Defaults and Ranges'!G24,IF('Attributes Inputs and Outputs'!E8='Defaults and Ranges'!G25,LOOKUP('Defaults and Ranges'!N6, 'Attributes Back Calcs'!J8:J12, 'Attributes Back Calcs'!K8:K12)-'Attributes Back Calcs'!K5,LOOKUP('Defaults and Ranges'!N6, 'Attributes Back Calcs'!J20:J24, 'Attributes Back Calcs'!K20:K24)-'Attributes Back Calcs'!K5),IF('Defaults and Ranges'!G6='Defaults and Ranges'!G25,IF('Attributes Inputs and Outputs'!E8='Defaults and Ranges'!G24,-LOOKUP('Defaults and Ranges'!N6, 'Attributes Back Calcs'!J8:J12, 'Attributes Back Calcs'!K8:K12)+'Attributes Back Calcs'!K5,LOOKUP('Defaults and Ranges'!N6, 'Attributes Back Calcs'!J14:J18, 'Attributes Back Calcs'!K14:K18)), IF('Attributes Inputs and Outputs'!E8='Defaults and Ranges'!G24, -LOOKUP('Defaults and Ranges'!N6, 'Attributes Back Calcs'!J20:J24, 'Attributes Back Calcs'!K20:K24), -LOOKUP('Defaults and Ranges'!N6, 'Attributes Back Calcs'!J14:J18, 'Attributes Back Calcs'!K14:K18)))))</f>
        <v>0</v>
      </c>
      <c r="G7" s="2">
        <f>IF(G10=G12, G13, IF(G10=G14, G15, IF(G10=G16, G17, G19)))</f>
        <v>0</v>
      </c>
      <c r="H7" s="2">
        <f>IF('Attributes Inputs and Outputs'!H8='Defaults and Ranges'!J6, 0, IF('Defaults and Ranges'!J6="No", SUM(H13,H15,H17,H19,H21,H25), -SUM(H13,H15,H17,H19,H21,H25)))</f>
        <v>0</v>
      </c>
      <c r="I7" s="2">
        <f>IF('Attributes Inputs and Outputs'!H9='Defaults and Ranges'!J7, 0, IF('Defaults and Ranges'!J7="No", SUM(I13,I15,I17,I19,I21,I25), -SUM(I13,I15,I17,I19,I21,I25)))</f>
        <v>0</v>
      </c>
      <c r="J7" s="2">
        <f>IF('Attributes Inputs and Outputs'!H10='Defaults and Ranges'!J8,0,IF('Defaults and Ranges'!J8="No",SUM(J13,J15,J17,J19,J21,J25,J27), -SUM(J13,J15,J17,J19,J21,J25,J27)))</f>
        <v>0</v>
      </c>
      <c r="K7" s="2">
        <f>IF('Attributes Inputs and Outputs'!H11='Defaults and Ranges'!J9,0,IF('Defaults and Ranges'!J9="No", SUM(K13,K15,K17,K19,K21,K25, K27, K29, K31), - SUM(K13,K15,K17,K19,K21,K25, K27, K29, K31)))</f>
        <v>0</v>
      </c>
      <c r="L7" s="2">
        <f>L12</f>
        <v>0</v>
      </c>
      <c r="M7" s="2">
        <f>M12</f>
        <v>0</v>
      </c>
      <c r="N7" s="2">
        <f>IF('Attributes Inputs and Outputs'!H14='Defaults and Ranges'!J12,0,IF('Defaults and Ranges'!J12="No",N12, -N12))</f>
        <v>0</v>
      </c>
      <c r="O7" s="2">
        <f>O12</f>
        <v>0</v>
      </c>
      <c r="P7" s="2">
        <f>IF('Attributes Inputs and Outputs'!H16='Defaults and Ranges'!J14,0,IF('Defaults and Ranges'!J14="No",SUM(P13,P15,P17,P19,P21,P25, P27, P29, P31, P33), -SUM(P13,P15,P17,P19,P21,P25, P27, P29, P31, P33)))</f>
        <v>0</v>
      </c>
      <c r="Q7" s="2">
        <f>Q12</f>
        <v>0</v>
      </c>
      <c r="R7" s="2">
        <f>R12</f>
        <v>0</v>
      </c>
      <c r="S7" s="2">
        <f>S12</f>
        <v>0</v>
      </c>
      <c r="T7" s="2">
        <f>SUM(T55,T57,T59,T61,T63,T65,T67,T69,T71, T73)</f>
        <v>0</v>
      </c>
      <c r="U7" s="2">
        <f>IF(U10=2, 0, SUM(U15,U17,U19,U21,U23, U25))</f>
        <v>0</v>
      </c>
      <c r="V7" s="2">
        <f>SUM(V18,V20,V22,V24,V26,V28,V30,V32,V34,V36)</f>
        <v>0</v>
      </c>
      <c r="W7" s="2">
        <f>SUM(W54,W56,W58,W60,W62,W64,W66,W68,W70)</f>
        <v>0</v>
      </c>
      <c r="X7" s="2">
        <f>SUM(X54,X56,X58,X60,X62,X64,X66,X68,X70)</f>
        <v>0</v>
      </c>
      <c r="Y7" s="2">
        <f>SUM(Y17,Y23,Y27,Y31)</f>
        <v>0</v>
      </c>
      <c r="Z7" s="2">
        <f>Z15</f>
        <v>0</v>
      </c>
      <c r="AA7" s="2">
        <f>IF('Attributes Inputs and Outputs'!J8=2, AA13-AB17,0)</f>
        <v>0</v>
      </c>
      <c r="AC7" s="2">
        <f>AC23</f>
        <v>0</v>
      </c>
      <c r="AD7">
        <f>IF(AD10=AD12, AD13, IF(AD10=AD14, AD15, IF(AD10=AD16, AD17, 0)))</f>
        <v>0</v>
      </c>
      <c r="AE7" s="2">
        <f>IF(AE10='Defaults and Ranges'!X25, AE13, 0)</f>
        <v>0</v>
      </c>
      <c r="AF7" s="2">
        <f>IF('Attributes Inputs and Outputs'!Q8='Defaults and Ranges'!Y26, 0, IF('Attributes Inputs and Outputs'!Q8='Defaults and Ranges'!Y25, 'Attributes Calculations'!AG27, 'Attributes Calculations'!AG28))</f>
        <v>0</v>
      </c>
      <c r="AH7" s="2">
        <f>IF(AH10='Defaults and Ranges'!Z25, AH19, 0)</f>
        <v>0</v>
      </c>
      <c r="AI7" s="2">
        <f>IF(AI10='Defaults and Ranges'!K37, AI13,0)</f>
        <v>0</v>
      </c>
      <c r="AJ7" s="2">
        <f>IF(AJ10='Defaults and Ranges'!K36, AJ13,0)</f>
        <v>0</v>
      </c>
      <c r="AK7" s="2">
        <f>IF('Attributes Inputs and Outputs'!H22='Defaults and Ranges'!K38, AK13, 0)</f>
        <v>0</v>
      </c>
    </row>
    <row r="8" spans="2:37" x14ac:dyDescent="0.3">
      <c r="C8" s="59" t="s">
        <v>9</v>
      </c>
      <c r="D8" s="59" t="s">
        <v>10</v>
      </c>
      <c r="E8" s="59" t="s">
        <v>109</v>
      </c>
      <c r="F8" s="59" t="s">
        <v>12</v>
      </c>
      <c r="G8" s="59" t="s">
        <v>13</v>
      </c>
      <c r="H8" s="109" t="s">
        <v>51</v>
      </c>
      <c r="I8" s="109"/>
      <c r="J8" s="109"/>
      <c r="K8" s="109"/>
      <c r="L8" s="109"/>
      <c r="M8" s="109"/>
      <c r="N8" s="109"/>
      <c r="O8" s="109"/>
      <c r="P8" s="109"/>
      <c r="Q8" s="59"/>
      <c r="R8" s="59"/>
      <c r="S8" s="59"/>
      <c r="T8" s="59" t="s">
        <v>15</v>
      </c>
      <c r="U8" s="59" t="s">
        <v>110</v>
      </c>
      <c r="V8" s="59" t="s">
        <v>17</v>
      </c>
      <c r="W8" s="59"/>
      <c r="X8" s="59"/>
      <c r="Y8" s="59"/>
      <c r="Z8" s="59" t="s">
        <v>18</v>
      </c>
      <c r="AA8" s="59"/>
      <c r="AB8" s="59"/>
      <c r="AF8" s="59" t="s">
        <v>52</v>
      </c>
      <c r="AH8" t="s">
        <v>27</v>
      </c>
      <c r="AI8" t="s">
        <v>28</v>
      </c>
      <c r="AJ8" t="s">
        <v>29</v>
      </c>
      <c r="AK8" t="s">
        <v>107</v>
      </c>
    </row>
    <row r="9" spans="2:37" x14ac:dyDescent="0.3">
      <c r="H9" t="s">
        <v>33</v>
      </c>
      <c r="I9" t="s">
        <v>112</v>
      </c>
      <c r="J9" t="s">
        <v>41</v>
      </c>
      <c r="K9" t="s">
        <v>42</v>
      </c>
      <c r="L9" s="57" t="s">
        <v>43</v>
      </c>
      <c r="M9" s="57" t="s">
        <v>44</v>
      </c>
      <c r="N9" t="s">
        <v>46</v>
      </c>
      <c r="O9" t="s">
        <v>47</v>
      </c>
      <c r="P9" t="s">
        <v>48</v>
      </c>
      <c r="Q9" t="s">
        <v>615</v>
      </c>
      <c r="R9" t="s">
        <v>657</v>
      </c>
      <c r="S9" t="s">
        <v>674</v>
      </c>
      <c r="V9" s="59" t="s">
        <v>12</v>
      </c>
      <c r="W9" s="59" t="s">
        <v>21</v>
      </c>
      <c r="X9" s="59" t="s">
        <v>22</v>
      </c>
      <c r="Y9" s="59" t="s">
        <v>23</v>
      </c>
      <c r="Z9" s="59" t="s">
        <v>24</v>
      </c>
      <c r="AA9" s="59" t="s">
        <v>1258</v>
      </c>
      <c r="AB9" s="59"/>
      <c r="AC9" s="59" t="s">
        <v>25</v>
      </c>
      <c r="AD9" s="59" t="s">
        <v>791</v>
      </c>
      <c r="AE9" s="59" t="s">
        <v>1115</v>
      </c>
    </row>
    <row r="10" spans="2:37" x14ac:dyDescent="0.3">
      <c r="C10">
        <f>'Attributes Inputs and Outputs'!B8</f>
        <v>3</v>
      </c>
      <c r="D10">
        <f>'Attributes Inputs and Outputs'!C8</f>
        <v>3</v>
      </c>
      <c r="E10" t="str">
        <f>'Attributes Inputs and Outputs'!D8</f>
        <v>2100 - 2299</v>
      </c>
      <c r="F10" t="str">
        <f>'Attributes Inputs and Outputs'!E8</f>
        <v>Yes, Unfinished</v>
      </c>
      <c r="G10" t="str">
        <f>'Attributes Inputs and Outputs'!F8</f>
        <v>Conventional Wood</v>
      </c>
      <c r="H10" t="str">
        <f>'Attributes Inputs and Outputs'!H8</f>
        <v>No</v>
      </c>
      <c r="I10" t="str">
        <f>'Attributes Inputs and Outputs'!H9</f>
        <v>No</v>
      </c>
      <c r="J10" t="str">
        <f>'Attributes Inputs and Outputs'!H10</f>
        <v>No</v>
      </c>
      <c r="K10" t="str">
        <f>'Attributes Inputs and Outputs'!H11</f>
        <v>No</v>
      </c>
      <c r="N10" t="str">
        <f>'Attributes Inputs and Outputs'!H14</f>
        <v>No</v>
      </c>
      <c r="O10" t="str">
        <f>'Attributes Inputs and Outputs'!H15</f>
        <v>No</v>
      </c>
      <c r="P10" t="str">
        <f>'Attributes Inputs and Outputs'!H16</f>
        <v>No</v>
      </c>
      <c r="Q10" t="str">
        <f>'Attributes Inputs and Outputs'!H17</f>
        <v>No</v>
      </c>
      <c r="R10" t="str">
        <f>'Attributes Inputs and Outputs'!H18</f>
        <v>No</v>
      </c>
      <c r="T10">
        <f>'Attributes Inputs and Outputs'!I8</f>
        <v>2</v>
      </c>
      <c r="U10">
        <f>'Attributes Inputs and Outputs'!J8</f>
        <v>2</v>
      </c>
      <c r="V10">
        <f>'Attributes Inputs and Outputs'!K8</f>
        <v>9</v>
      </c>
      <c r="W10">
        <f>'Attributes Inputs and Outputs'!L8</f>
        <v>9</v>
      </c>
      <c r="X10">
        <f>'Attributes Inputs and Outputs'!M8</f>
        <v>9</v>
      </c>
      <c r="Y10">
        <f>'Attributes Inputs and Outputs'!N8</f>
        <v>0</v>
      </c>
      <c r="Z10" t="str">
        <f>'Attributes Inputs and Outputs'!O8</f>
        <v>Few</v>
      </c>
      <c r="AA10" t="str">
        <f>'Attributes Inputs and Outputs'!U8</f>
        <v>97 - 100%</v>
      </c>
      <c r="AC10" t="str">
        <f>'Attributes Inputs and Outputs'!P8</f>
        <v>Normal</v>
      </c>
      <c r="AD10" t="str">
        <f>'Attributes Inputs and Outputs'!S8</f>
        <v>Front</v>
      </c>
      <c r="AE10" t="str">
        <f>'Attributes Inputs and Outputs'!T8</f>
        <v>No</v>
      </c>
      <c r="AF10" t="str">
        <f>'Attributes Inputs and Outputs'!Q8</f>
        <v>Neither</v>
      </c>
      <c r="AH10" t="str">
        <f>'Attributes Inputs and Outputs'!R8</f>
        <v>No</v>
      </c>
      <c r="AI10" t="str">
        <f>'Attributes Inputs and Outputs'!H21</f>
        <v>No</v>
      </c>
      <c r="AJ10" t="str">
        <f>'Attributes Inputs and Outputs'!H20</f>
        <v>No</v>
      </c>
      <c r="AK10" t="str">
        <f>'Attributes Inputs and Outputs'!H22</f>
        <v>No</v>
      </c>
    </row>
    <row r="11" spans="2:37" x14ac:dyDescent="0.3">
      <c r="E11" t="s">
        <v>1099</v>
      </c>
    </row>
    <row r="12" spans="2:37" x14ac:dyDescent="0.3">
      <c r="B12" t="s">
        <v>355</v>
      </c>
      <c r="C12" s="13">
        <f>SUM(C15,C17,C19,C21, C23)</f>
        <v>1425</v>
      </c>
      <c r="D12" s="13">
        <v>4000</v>
      </c>
      <c r="E12">
        <v>53</v>
      </c>
      <c r="F12" s="12"/>
      <c r="G12" t="s">
        <v>332</v>
      </c>
      <c r="H12" t="s">
        <v>146</v>
      </c>
      <c r="I12" t="s">
        <v>146</v>
      </c>
      <c r="J12" t="s">
        <v>146</v>
      </c>
      <c r="K12" t="s">
        <v>146</v>
      </c>
      <c r="L12" s="13">
        <f>IF('Attributes Inputs and Outputs'!H12='Defaults and Ranges'!J28, 0, L14)</f>
        <v>0</v>
      </c>
      <c r="M12" s="13">
        <f>IF('Attributes Inputs and Outputs'!H13='Defaults and Ranges'!J29, 0, 'Package Price Back Calcs'!G367)</f>
        <v>0</v>
      </c>
      <c r="N12" s="13">
        <f>SUM(N15,N17,N19,N23,N25,N27)</f>
        <v>5043.2</v>
      </c>
      <c r="O12" s="13">
        <f>IF('Attributes Inputs and Outputs'!H15='Defaults and Ranges'!J31, 0, 'Package Price Back Calcs'!G446)</f>
        <v>0</v>
      </c>
      <c r="P12" t="s">
        <v>146</v>
      </c>
      <c r="Q12" s="13">
        <f>IF('Attributes Inputs and Outputs'!H17='Defaults and Ranges'!K33, IF('Attributes Inputs and Outputs'!T8='Defaults and Ranges'!X24, SUM(Q28,Q32),SUM(Q30,Q32)), 0)</f>
        <v>0</v>
      </c>
      <c r="R12" s="13">
        <f>IF(R10='Defaults and Ranges'!J34, 0, 'Package Price Back Calcs'!G1241)</f>
        <v>0</v>
      </c>
      <c r="S12" s="13">
        <f>IF('Attributes Inputs and Outputs'!H19='Defaults and Ranges'!K35, 'Package Price Back Calcs'!G781, 0)</f>
        <v>0</v>
      </c>
      <c r="T12" t="s">
        <v>356</v>
      </c>
      <c r="W12" t="s">
        <v>357</v>
      </c>
      <c r="X12" t="s">
        <v>357</v>
      </c>
      <c r="Y12" t="s">
        <v>358</v>
      </c>
      <c r="Z12" t="s">
        <v>359</v>
      </c>
      <c r="AC12" t="s">
        <v>360</v>
      </c>
      <c r="AD12" s="37" t="s">
        <v>794</v>
      </c>
      <c r="AE12" t="s">
        <v>1118</v>
      </c>
      <c r="AF12" t="s">
        <v>361</v>
      </c>
      <c r="AG12" s="13">
        <f>('Attributes Back Calcs'!AH9*('Attributes Calculations'!E16-'Defaults and Ranges'!D7))</f>
        <v>0</v>
      </c>
      <c r="AH12" t="s">
        <v>1039</v>
      </c>
      <c r="AI12" t="s">
        <v>362</v>
      </c>
      <c r="AJ12" t="s">
        <v>1139</v>
      </c>
      <c r="AK12" t="s">
        <v>1139</v>
      </c>
    </row>
    <row r="13" spans="2:37" x14ac:dyDescent="0.3">
      <c r="E13" t="s">
        <v>363</v>
      </c>
      <c r="G13" s="13">
        <v>0</v>
      </c>
      <c r="H13" s="13">
        <v>1000</v>
      </c>
      <c r="I13" s="13">
        <v>1000</v>
      </c>
      <c r="J13" s="13">
        <v>150</v>
      </c>
      <c r="K13" s="13">
        <v>150</v>
      </c>
      <c r="L13" t="s">
        <v>364</v>
      </c>
      <c r="M13" s="13"/>
      <c r="N13" s="13"/>
      <c r="O13" s="13"/>
      <c r="P13" s="13">
        <v>150</v>
      </c>
      <c r="Q13" s="13" t="s">
        <v>701</v>
      </c>
      <c r="R13" s="13"/>
      <c r="S13" s="13"/>
      <c r="T13" t="s">
        <v>365</v>
      </c>
      <c r="U13" t="s">
        <v>366</v>
      </c>
      <c r="V13" t="s">
        <v>367</v>
      </c>
      <c r="W13" t="s">
        <v>368</v>
      </c>
      <c r="X13" t="s">
        <v>368</v>
      </c>
      <c r="Y13">
        <v>1</v>
      </c>
      <c r="Z13" s="10">
        <f>SUM(C7:Y7,AC7)+'Defaults and Ranges'!C2</f>
        <v>315000</v>
      </c>
      <c r="AA13" s="98">
        <f>VLOOKUP('Attributes Inputs and Outputs'!U8, AA17:AB26, 2, FALSE)</f>
        <v>847.03206000000068</v>
      </c>
      <c r="AC13" s="37">
        <f>'Attributes Back Calcs'!AD20</f>
        <v>10.555555555555555</v>
      </c>
      <c r="AD13">
        <f>2000*'Attributes Inputs and Outputs'!I8</f>
        <v>4000</v>
      </c>
      <c r="AE13" s="13">
        <f>AE15*AE17</f>
        <v>6000</v>
      </c>
      <c r="AF13" t="s">
        <v>369</v>
      </c>
      <c r="AG13" s="13">
        <f>Y10*'Attributes Back Calcs'!AH11</f>
        <v>0</v>
      </c>
      <c r="AH13" s="13">
        <f>25*100</f>
        <v>2500</v>
      </c>
      <c r="AI13" s="13">
        <v>500</v>
      </c>
      <c r="AJ13" s="13">
        <f>'Package Price Back Calcs'!G1387</f>
        <v>11495</v>
      </c>
      <c r="AK13" s="13">
        <f>'Package Price Back Calcs'!G1223</f>
        <v>2500</v>
      </c>
    </row>
    <row r="14" spans="2:37" x14ac:dyDescent="0.3">
      <c r="C14" t="s">
        <v>230</v>
      </c>
      <c r="E14" t="e">
        <f>LOOKUP('Attributes Inputs and Outputs'!D12, 'Defaults and Ranges'!F24:F49, 'Defaults and Ranges'!E24:E49)</f>
        <v>#N/A</v>
      </c>
      <c r="F14" s="9"/>
      <c r="G14" t="s">
        <v>340</v>
      </c>
      <c r="H14" t="s">
        <v>370</v>
      </c>
      <c r="I14" t="s">
        <v>370</v>
      </c>
      <c r="J14" t="s">
        <v>370</v>
      </c>
      <c r="K14" t="s">
        <v>370</v>
      </c>
      <c r="L14" s="13">
        <f>SUM(L16,L18,L20,L22)</f>
        <v>6863.2</v>
      </c>
      <c r="N14" t="s">
        <v>370</v>
      </c>
      <c r="P14" t="s">
        <v>370</v>
      </c>
      <c r="Q14" s="16">
        <f>IF('Attributes Inputs and Outputs'!J8=1, 0.25*'Attributes Back Calcs'!G5, 0.25*'Attributes Back Calcs'!G4)</f>
        <v>349.875</v>
      </c>
      <c r="T14">
        <f>'Attributes Back Calcs'!G9</f>
        <v>500</v>
      </c>
      <c r="U14" t="s">
        <v>371</v>
      </c>
      <c r="V14">
        <f>IF('Attributes Inputs and Outputs'!E8="No", 0, 1)</f>
        <v>1</v>
      </c>
      <c r="W14" s="2">
        <f>('Attributes Back Calcs'!$Z$9*'Attributes Back Calcs'!$G$5)*(1+Inputs!$C$10)^('Attributes Inputs and Outputs'!$L$8-8)</f>
        <v>742.08750000000009</v>
      </c>
      <c r="X14" s="2">
        <f>('Attributes Back Calcs'!$Z$9*'Attributes Back Calcs'!$G$4)*(1+Inputs!$C$10)^('Attributes Inputs and Outputs'!$M$8-8)</f>
        <v>1154.5875000000001</v>
      </c>
      <c r="Y14" t="s">
        <v>372</v>
      </c>
      <c r="Z14" t="s">
        <v>373</v>
      </c>
      <c r="AA14" t="s">
        <v>1273</v>
      </c>
      <c r="AC14" t="s">
        <v>374</v>
      </c>
      <c r="AD14" s="11" t="s">
        <v>793</v>
      </c>
      <c r="AE14" s="37" t="s">
        <v>1116</v>
      </c>
      <c r="AF14" t="s">
        <v>375</v>
      </c>
      <c r="AG14" s="13">
        <f>(AG12+'Attributes Back Calcs'!AH6)*(IF(Z10=Inputs!C23, Inputs!C24, IF(Z10=Inputs!D23, Inputs!D24, IF(Z10=Inputs!E23, Inputs!E24, IF(Z10=Inputs!F23, Inputs!F24, Inputs!G24)))))</f>
        <v>0</v>
      </c>
      <c r="AH14" t="s">
        <v>376</v>
      </c>
    </row>
    <row r="15" spans="2:37" x14ac:dyDescent="0.3">
      <c r="C15" s="13">
        <v>300</v>
      </c>
      <c r="D15" s="13"/>
      <c r="E15" t="s">
        <v>377</v>
      </c>
      <c r="G15" s="13">
        <f>'Attributes Back Calcs'!M14</f>
        <v>10474.769687205539</v>
      </c>
      <c r="H15" s="13">
        <v>150</v>
      </c>
      <c r="I15" s="13">
        <v>150</v>
      </c>
      <c r="J15" s="13">
        <v>150</v>
      </c>
      <c r="K15" s="13">
        <v>150</v>
      </c>
      <c r="L15" t="s">
        <v>378</v>
      </c>
      <c r="M15" s="13"/>
      <c r="N15" s="13">
        <v>150</v>
      </c>
      <c r="O15" s="13"/>
      <c r="P15" s="13">
        <v>150</v>
      </c>
      <c r="Q15" t="s">
        <v>702</v>
      </c>
      <c r="R15" s="13"/>
      <c r="S15" s="13"/>
      <c r="T15" t="s">
        <v>379</v>
      </c>
      <c r="U15" s="2">
        <v>-3200</v>
      </c>
      <c r="V15" t="s">
        <v>380</v>
      </c>
      <c r="W15" t="s">
        <v>381</v>
      </c>
      <c r="X15" t="s">
        <v>381</v>
      </c>
      <c r="Y15">
        <f>Y13*Y10</f>
        <v>0</v>
      </c>
      <c r="Z15" s="10">
        <f>(SUM(C7:Y7,AC7:AD7)+'Defaults and Ranges'!C2)*(IF(Z10=Inputs!C21, Inputs!C22, IF(Z10=Inputs!D21, Inputs!D22, IF(Z10=Inputs!E21, Inputs!E22, IF(Z10=Inputs!F21, Inputs!F22, Inputs!G22)))))</f>
        <v>0</v>
      </c>
      <c r="AA15" s="98">
        <f>SUM(U17,U19,U21,U23)</f>
        <v>28234.401999999998</v>
      </c>
      <c r="AB15" s="10"/>
      <c r="AC15" s="11">
        <f>'Attributes Back Calcs'!G5+'Attributes Back Calcs'!G9</f>
        <v>1399.5</v>
      </c>
      <c r="AD15">
        <f>700*'Attributes Inputs and Outputs'!I8</f>
        <v>1400</v>
      </c>
      <c r="AE15" s="14">
        <v>12</v>
      </c>
      <c r="AF15" t="s">
        <v>382</v>
      </c>
      <c r="AG15" s="13">
        <f>(AG12+'Attributes Back Calcs'!AH6)*(IF(AC10=Inputs!C30,Inputs!C31,IF(AC10=Inputs!D30,Inputs!D31,IF(AC10=Inputs!E30,Inputs!E31,IF(AC10=Inputs!F30,Inputs!F31,Inputs!G31)))))</f>
        <v>0</v>
      </c>
      <c r="AH15" s="13">
        <f>100*5</f>
        <v>500</v>
      </c>
    </row>
    <row r="16" spans="2:37" x14ac:dyDescent="0.3">
      <c r="C16" t="s">
        <v>585</v>
      </c>
      <c r="E16">
        <f>LOOKUP(E10, 'Defaults and Ranges'!F24:F49, 'Defaults and Ranges'!E24:E49)</f>
        <v>2299</v>
      </c>
      <c r="F16" s="9"/>
      <c r="G16" t="s">
        <v>1134</v>
      </c>
      <c r="H16" t="s">
        <v>383</v>
      </c>
      <c r="I16" t="s">
        <v>383</v>
      </c>
      <c r="J16" t="s">
        <v>383</v>
      </c>
      <c r="K16" t="s">
        <v>383</v>
      </c>
      <c r="L16" s="13">
        <f>'Package Price Back Calcs'!G335</f>
        <v>5763.2</v>
      </c>
      <c r="N16" t="s">
        <v>393</v>
      </c>
      <c r="P16" t="s">
        <v>383</v>
      </c>
      <c r="Q16" s="13">
        <f>Q14*(1.7+5)</f>
        <v>2344.1624999999999</v>
      </c>
      <c r="T16" s="13">
        <f>'Attributes Back Calcs'!$O$15*IF('Attributes Inputs and Outputs'!I8=0, 0, 1)+'Attributes Back Calcs'!$O$17*'Attributes Calculations'!T14</f>
        <v>3500</v>
      </c>
      <c r="U16" s="1" t="s">
        <v>384</v>
      </c>
      <c r="V16">
        <f>IF('Attributes Inputs and Outputs'!E8="Yes, Finished", 1, 0)</f>
        <v>0</v>
      </c>
      <c r="W16" s="2">
        <f>('Attributes Back Calcs'!$Z$11*('Attributes Back Calcs'!$G$5+'Attributes Back Calcs'!$G$9))*(1+Inputs!$C$7)^('Attributes Inputs and Outputs'!$L$8-8)</f>
        <v>7697.2500000000009</v>
      </c>
      <c r="X16" s="2">
        <f>('Attributes Back Calcs'!$Z$11*'Attributes Back Calcs'!$G$4)*(1+Inputs!$C$7)^('Attributes Inputs and Outputs'!$M$8-8)</f>
        <v>7697.2500000000009</v>
      </c>
      <c r="Y16" t="s">
        <v>385</v>
      </c>
      <c r="AA16" t="s">
        <v>1274</v>
      </c>
      <c r="AB16" t="s">
        <v>56</v>
      </c>
      <c r="AC16" t="s">
        <v>386</v>
      </c>
      <c r="AD16" s="11" t="s">
        <v>12</v>
      </c>
      <c r="AE16" s="11" t="s">
        <v>1117</v>
      </c>
      <c r="AF16" t="s">
        <v>387</v>
      </c>
      <c r="AG16" s="13">
        <f>SUM(AG12:AG15)</f>
        <v>0</v>
      </c>
      <c r="AH16" t="s">
        <v>388</v>
      </c>
    </row>
    <row r="17" spans="3:34" x14ac:dyDescent="0.3">
      <c r="C17" s="13">
        <v>300</v>
      </c>
      <c r="D17" s="13"/>
      <c r="E17" t="s">
        <v>389</v>
      </c>
      <c r="G17" s="13">
        <f>'Attributes Back Calcs'!M20</f>
        <v>34716.379534738357</v>
      </c>
      <c r="H17" s="13">
        <v>300</v>
      </c>
      <c r="I17" s="13">
        <v>300</v>
      </c>
      <c r="J17" s="13">
        <v>300</v>
      </c>
      <c r="K17" s="13">
        <v>300</v>
      </c>
      <c r="L17" t="s">
        <v>390</v>
      </c>
      <c r="M17" s="13"/>
      <c r="N17" s="13">
        <v>300</v>
      </c>
      <c r="O17" s="13"/>
      <c r="P17" s="13">
        <v>0</v>
      </c>
      <c r="Q17" s="13" t="s">
        <v>370</v>
      </c>
      <c r="R17" s="13"/>
      <c r="S17" s="13"/>
      <c r="T17" t="s">
        <v>391</v>
      </c>
      <c r="U17" s="2">
        <f>LOOKUP('Attributes Inputs and Outputs'!I8, 'Attributes Back Calcs'!R43:R47, 'Attributes Back Calcs'!P43:P47)-LOOKUP('Attributes Inputs and Outputs'!I8, 'Attributes Back Calcs'!R48:R52, 'Attributes Back Calcs'!P48:P52)</f>
        <v>4898.25</v>
      </c>
      <c r="V17" t="s">
        <v>391</v>
      </c>
      <c r="W17" t="s">
        <v>392</v>
      </c>
      <c r="X17" t="s">
        <v>392</v>
      </c>
      <c r="Y17" s="13">
        <f>Y15*Inputs!C17</f>
        <v>0</v>
      </c>
      <c r="AA17" t="s">
        <v>1267</v>
      </c>
      <c r="AB17" s="98">
        <f>(1-Inputs!C$36)*$AA$15</f>
        <v>847.03206000000068</v>
      </c>
      <c r="AC17" s="13">
        <f>AC13*AC15</f>
        <v>14772.5</v>
      </c>
      <c r="AD17">
        <f>800*'Attributes Inputs and Outputs'!I8</f>
        <v>1600</v>
      </c>
      <c r="AE17" s="11">
        <v>500</v>
      </c>
      <c r="AG17" s="13"/>
      <c r="AH17" s="14">
        <v>0.5</v>
      </c>
    </row>
    <row r="18" spans="3:34" x14ac:dyDescent="0.3">
      <c r="C18" t="s">
        <v>586</v>
      </c>
      <c r="E18">
        <f>E16-'Defaults and Ranges'!D7</f>
        <v>0</v>
      </c>
      <c r="G18" t="s">
        <v>32</v>
      </c>
      <c r="H18" t="s">
        <v>393</v>
      </c>
      <c r="I18" t="s">
        <v>393</v>
      </c>
      <c r="J18" t="s">
        <v>393</v>
      </c>
      <c r="K18" t="s">
        <v>393</v>
      </c>
      <c r="L18">
        <v>500</v>
      </c>
      <c r="N18" t="s">
        <v>402</v>
      </c>
      <c r="P18" t="s">
        <v>393</v>
      </c>
      <c r="Q18" s="13">
        <f>(Q14/100)*1.5*35</f>
        <v>183.68437499999999</v>
      </c>
      <c r="T18" s="13">
        <f>(T14*IF('Defaults and Ranges'!$G$6="No",'Attributes Back Calcs'!$K$51,LOOKUP('Defaults and Ranges'!$N$6,'Attributes Back Calcs'!$J$52:$J$56,'Attributes Back Calcs'!$K$52:$K$56)))/2</f>
        <v>3240</v>
      </c>
      <c r="U18" t="s">
        <v>394</v>
      </c>
      <c r="V18" s="2">
        <f>V14*(LOOKUP('Attributes Inputs and Outputs'!K8, 'Attributes Back Calcs'!J52:J56, 'Attributes Back Calcs'!K52:K56)-LOOKUP('Defaults and Ranges'!N6, 'Attributes Back Calcs'!J52:J56,'Attributes Back Calcs'!K52:K56))*('Attributes Back Calcs'!G6+'Attributes Back Calcs'!G9)</f>
        <v>0</v>
      </c>
      <c r="W18" s="2">
        <f>('Attributes Back Calcs'!$Z$14*'Attributes Back Calcs'!$P$99)*(1+Inputs!$C$8)^('Attributes Inputs and Outputs'!L8-9)</f>
        <v>4628.2677165354335</v>
      </c>
      <c r="X18" s="2">
        <f>('Attributes Back Calcs'!$AA$14*'Attributes Back Calcs'!$P$99)*(1+Inputs!$C$8)^('Attributes Inputs and Outputs'!M8-9)</f>
        <v>4628.2677165354335</v>
      </c>
      <c r="Y18" t="s">
        <v>395</v>
      </c>
      <c r="Z18" s="9"/>
      <c r="AA18" t="s">
        <v>1268</v>
      </c>
      <c r="AB18" s="98">
        <f>(1-Inputs!D$36)*$AA$15</f>
        <v>2823.4401999999991</v>
      </c>
      <c r="AC18" t="s">
        <v>396</v>
      </c>
      <c r="AF18" t="s">
        <v>397</v>
      </c>
      <c r="AG18" s="13">
        <f>('Attributes Back Calcs'!AH9*('Attributes Calculations'!E16-'Defaults and Ranges'!D7))</f>
        <v>0</v>
      </c>
      <c r="AH18" t="s">
        <v>398</v>
      </c>
    </row>
    <row r="19" spans="3:34" x14ac:dyDescent="0.3">
      <c r="C19" s="13">
        <v>500</v>
      </c>
      <c r="D19" s="13"/>
      <c r="G19" s="13">
        <f>'Package Price Back Calcs'!G1362</f>
        <v>17531.566862910007</v>
      </c>
      <c r="H19" s="13">
        <v>300</v>
      </c>
      <c r="I19" s="13">
        <v>300</v>
      </c>
      <c r="J19" s="13">
        <v>300</v>
      </c>
      <c r="K19" s="13">
        <v>300</v>
      </c>
      <c r="L19" s="13" t="s">
        <v>399</v>
      </c>
      <c r="M19" s="13"/>
      <c r="N19" s="13">
        <v>100</v>
      </c>
      <c r="O19" s="13"/>
      <c r="P19" s="13">
        <v>100</v>
      </c>
      <c r="Q19" s="13" t="s">
        <v>603</v>
      </c>
      <c r="R19" s="13"/>
      <c r="S19" s="13"/>
      <c r="T19" s="13" t="s">
        <v>381</v>
      </c>
      <c r="U19" s="2">
        <f>'Attributes Back Calcs'!V31-'Attributes Back Calcs'!V30</f>
        <v>24485.651999999998</v>
      </c>
      <c r="V19" t="s">
        <v>368</v>
      </c>
      <c r="W19" t="s">
        <v>400</v>
      </c>
      <c r="X19" t="s">
        <v>400</v>
      </c>
      <c r="Y19">
        <v>2</v>
      </c>
      <c r="AA19" t="s">
        <v>1259</v>
      </c>
      <c r="AB19" s="98">
        <f>(1-Inputs!E$36)*$AA$15</f>
        <v>4799.8483400000005</v>
      </c>
      <c r="AC19" s="26">
        <f>IF('Attributes Inputs and Outputs'!P8=Inputs!C28, Inputs!C29, IF('Attributes Inputs and Outputs'!P8=Inputs!D28, Inputs!D29, IF('Attributes Inputs and Outputs'!P8=Inputs!E28,0, IF('Attributes Inputs and Outputs'!P8=Inputs!F28, Inputs!F29, Inputs!G29))))</f>
        <v>0</v>
      </c>
      <c r="AD19" s="26"/>
      <c r="AE19" s="26"/>
      <c r="AF19" t="s">
        <v>401</v>
      </c>
      <c r="AG19" s="13">
        <f>'Attributes Back Calcs'!AH7*('Attributes Back Calcs'!AH12*'Attributes Calculations'!Y10)</f>
        <v>0</v>
      </c>
      <c r="AH19" s="13">
        <f>AH13+AH15+AH17*(E18)</f>
        <v>3000</v>
      </c>
    </row>
    <row r="20" spans="3:34" x14ac:dyDescent="0.3">
      <c r="C20" t="s">
        <v>587</v>
      </c>
      <c r="H20" t="s">
        <v>402</v>
      </c>
      <c r="I20" t="s">
        <v>402</v>
      </c>
      <c r="J20" t="s">
        <v>402</v>
      </c>
      <c r="K20" t="s">
        <v>402</v>
      </c>
      <c r="L20">
        <v>200</v>
      </c>
      <c r="N20" t="s">
        <v>409</v>
      </c>
      <c r="P20" t="s">
        <v>402</v>
      </c>
      <c r="Q20" s="13">
        <f>Q14*2</f>
        <v>699.75</v>
      </c>
      <c r="T20" s="13">
        <f>T14*'Attributes Back Calcs'!P116</f>
        <v>2500</v>
      </c>
      <c r="U20" t="s">
        <v>403</v>
      </c>
      <c r="V20" s="2">
        <f>V14*(LOOKUP('Attributes Inputs and Outputs'!K8, 'Attributes Back Calcs'!J104:J108, 'Attributes Back Calcs'!K104:K108)-LOOKUP('Defaults and Ranges'!N6, 'Attributes Back Calcs'!J104:J108, 'Attributes Back Calcs'!K104:K108))*'Attributes Back Calcs'!G6</f>
        <v>0</v>
      </c>
      <c r="W20" s="2">
        <f>('Attributes Back Calcs'!$G$5+'Attributes Back Calcs'!$G$9)*'Attributes Back Calcs'!$K$95*(1+Inputs!$C$9)^('Attributes Inputs and Outputs'!$L$8-8)</f>
        <v>3673.6875</v>
      </c>
      <c r="X20" s="2">
        <f>('Attributes Back Calcs'!$G$4)*'Attributes Back Calcs'!$K$95*(1+Inputs!$C$9)^('Attributes Inputs and Outputs'!$M$8-8)</f>
        <v>3673.6875</v>
      </c>
      <c r="Y20" t="s">
        <v>404</v>
      </c>
      <c r="AA20" t="s">
        <v>1260</v>
      </c>
      <c r="AB20" s="98">
        <f>(1-Inputs!F$36)*$AA$15</f>
        <v>7058.6004999999996</v>
      </c>
      <c r="AC20" t="s">
        <v>405</v>
      </c>
      <c r="AF20" t="s">
        <v>406</v>
      </c>
      <c r="AG20" s="13">
        <f>(AG18+'Attributes Back Calcs'!AH7)*(IF(Z10=Inputs!C25,Inputs!C26,IF(Z10=Inputs!D25,Inputs!D26,IF(Z10=Inputs!E25,Inputs!E26,IF(Z10=Inputs!F25,Inputs!F26,Inputs!G26)))))</f>
        <v>0</v>
      </c>
    </row>
    <row r="21" spans="3:34" x14ac:dyDescent="0.3">
      <c r="C21" s="13">
        <v>125</v>
      </c>
      <c r="D21" s="13"/>
      <c r="H21" s="13">
        <v>100</v>
      </c>
      <c r="I21" s="13">
        <v>100</v>
      </c>
      <c r="J21" s="13">
        <v>100</v>
      </c>
      <c r="K21" s="13">
        <v>100</v>
      </c>
      <c r="L21" s="13" t="s">
        <v>25</v>
      </c>
      <c r="M21" s="13"/>
      <c r="N21" s="17">
        <v>0.3</v>
      </c>
      <c r="O21" s="13"/>
      <c r="P21" s="13">
        <v>100</v>
      </c>
      <c r="Q21" t="s">
        <v>393</v>
      </c>
      <c r="R21" s="13"/>
      <c r="S21" s="13"/>
      <c r="T21" t="s">
        <v>407</v>
      </c>
      <c r="U21" s="2">
        <f>IF('Attributes Inputs and Outputs'!E8='Defaults and Ranges'!G26, 'Attributes Back Calcs'!V37-'Attributes Back Calcs'!V35, 0)</f>
        <v>0</v>
      </c>
      <c r="V21" t="s">
        <v>89</v>
      </c>
      <c r="W21" t="s">
        <v>89</v>
      </c>
      <c r="X21" t="s">
        <v>89</v>
      </c>
      <c r="Y21">
        <f>Y19*Y15</f>
        <v>0</v>
      </c>
      <c r="AA21" t="s">
        <v>1261</v>
      </c>
      <c r="AB21" s="98">
        <f>(1-Inputs!G$36)*$AA$15</f>
        <v>9882.0406999999996</v>
      </c>
      <c r="AC21" s="13">
        <f>AC17*(1+AC19)</f>
        <v>14772.5</v>
      </c>
      <c r="AD21" s="13"/>
      <c r="AE21" s="13"/>
      <c r="AF21" t="s">
        <v>408</v>
      </c>
      <c r="AG21" s="13">
        <f>(AG18+'Attributes Back Calcs'!AH7)*(IF(AC10=Inputs!C32,Inputs!C33,IF(AC10=Inputs!D32,Inputs!D33,IF(AC10=Inputs!E32,Inputs!E33,IF(AC10=Inputs!F32,Inputs!F33,Inputs!G33)))))</f>
        <v>0</v>
      </c>
    </row>
    <row r="22" spans="3:34" x14ac:dyDescent="0.3">
      <c r="C22" t="s">
        <v>588</v>
      </c>
      <c r="F22" s="11"/>
      <c r="G22" s="11"/>
      <c r="H22" t="s">
        <v>409</v>
      </c>
      <c r="I22" t="s">
        <v>409</v>
      </c>
      <c r="J22" t="s">
        <v>409</v>
      </c>
      <c r="K22" t="s">
        <v>409</v>
      </c>
      <c r="L22">
        <v>400</v>
      </c>
      <c r="N22" s="26" t="s">
        <v>416</v>
      </c>
      <c r="P22" t="s">
        <v>409</v>
      </c>
      <c r="Q22" s="13">
        <f>Q14*4</f>
        <v>1399.5</v>
      </c>
      <c r="T22" s="13">
        <f>IF('Defaults and Ranges'!$M$6=2, LOOKUP(T10, 'Attributes Back Calcs'!$R$48:$R$52,'Attributes Back Calcs'!$P$48:$P$52), LOOKUP('Attributes Calculations'!T10, 'Attributes Back Calcs'!$R$43:$R$47, 'Attributes Back Calcs'!$P$43:$P$47))-IF('Defaults and Ranges'!$M$6=1, 'Attributes Back Calcs'!$P$43, 'Attributes Back Calcs'!$P$48)</f>
        <v>875</v>
      </c>
      <c r="U22" t="s">
        <v>410</v>
      </c>
      <c r="V22" s="2">
        <f>V14*(LOOKUP('Attributes Inputs and Outputs'!K8, 'Attributes Back Calcs'!J61:J65, 'Attributes Back Calcs'!K61:K65)-LOOKUP('Defaults and Ranges'!N6, 'Attributes Back Calcs'!J61:J65, 'Attributes Back Calcs'!K61:K65))*'Attributes Back Calcs'!G6</f>
        <v>0</v>
      </c>
      <c r="W22" s="2">
        <f>('Attributes Back Calcs'!$G$5+'Attributes Back Calcs'!$G$9)*'Attributes Back Calcs'!$K$61*(1+Inputs!$C$11)^('Attributes Inputs and Outputs'!$L$8-8)</f>
        <v>2519.1</v>
      </c>
      <c r="X22" s="2">
        <f>('Attributes Back Calcs'!$G$4)*'Attributes Back Calcs'!$K$61*(1+Inputs!$C$11)^('Attributes Inputs and Outputs'!$M$8-8)</f>
        <v>2519.1</v>
      </c>
      <c r="Y22" t="s">
        <v>411</v>
      </c>
      <c r="AA22" t="s">
        <v>1262</v>
      </c>
      <c r="AB22" s="98">
        <f>(1-Inputs!H$36)*$AA$15</f>
        <v>14117.200999999999</v>
      </c>
      <c r="AC22" t="s">
        <v>412</v>
      </c>
      <c r="AF22" t="s">
        <v>413</v>
      </c>
      <c r="AG22" s="13">
        <f>SUM(AG18:AG21)</f>
        <v>0</v>
      </c>
    </row>
    <row r="23" spans="3:34" x14ac:dyDescent="0.3">
      <c r="C23" s="13">
        <v>200</v>
      </c>
      <c r="D23" s="13"/>
      <c r="H23" s="17">
        <v>0.2</v>
      </c>
      <c r="I23" s="17">
        <v>0.2</v>
      </c>
      <c r="J23" s="17">
        <v>0.2</v>
      </c>
      <c r="K23" s="17">
        <v>0.2</v>
      </c>
      <c r="L23" s="17"/>
      <c r="M23" s="17"/>
      <c r="N23" s="13">
        <f>N21*('Attributes Calculations'!$E$16-'Defaults and Ranges'!$D$7)</f>
        <v>0</v>
      </c>
      <c r="O23" s="17"/>
      <c r="P23" s="17">
        <v>0.1</v>
      </c>
      <c r="Q23" s="17" t="s">
        <v>402</v>
      </c>
      <c r="R23" s="17"/>
      <c r="S23" s="17"/>
      <c r="T23" t="s">
        <v>414</v>
      </c>
      <c r="U23" s="2">
        <f>-'Attributes Calculations'!E16/2</f>
        <v>-1149.5</v>
      </c>
      <c r="V23" t="s">
        <v>415</v>
      </c>
      <c r="W23" t="s">
        <v>95</v>
      </c>
      <c r="X23" t="s">
        <v>95</v>
      </c>
      <c r="Y23" s="13">
        <f>Y21*Inputs!C18</f>
        <v>0</v>
      </c>
      <c r="AA23" t="s">
        <v>1263</v>
      </c>
      <c r="AB23" s="98">
        <f>(1-Inputs!I$36)*$AA$15</f>
        <v>16940.641199999998</v>
      </c>
      <c r="AC23" s="13">
        <f>AC21-AC17</f>
        <v>0</v>
      </c>
      <c r="AD23" s="13"/>
      <c r="AE23" s="13"/>
      <c r="AG23" s="13"/>
    </row>
    <row r="24" spans="3:34" x14ac:dyDescent="0.3">
      <c r="H24" s="26" t="s">
        <v>416</v>
      </c>
      <c r="I24" s="26" t="s">
        <v>416</v>
      </c>
      <c r="J24" s="26" t="s">
        <v>416</v>
      </c>
      <c r="K24" s="26" t="s">
        <v>416</v>
      </c>
      <c r="L24" s="26"/>
      <c r="M24" s="26"/>
      <c r="N24" t="s">
        <v>269</v>
      </c>
      <c r="O24" s="26"/>
      <c r="P24" s="26" t="s">
        <v>416</v>
      </c>
      <c r="Q24" s="13">
        <f>Q14*1.4</f>
        <v>489.82499999999999</v>
      </c>
      <c r="R24" s="26"/>
      <c r="S24" s="26"/>
      <c r="T24" s="13">
        <f>'Attributes Back Calcs'!O85*'Attributes Calculations'!T10</f>
        <v>2000</v>
      </c>
      <c r="U24" t="s">
        <v>781</v>
      </c>
      <c r="V24" s="2">
        <f>V14*(LOOKUP('Attributes Inputs and Outputs'!K8, 'Attributes Back Calcs'!J111:J115, 'Attributes Back Calcs'!K111:K115)-LOOKUP('Defaults and Ranges'!N6, 'Attributes Back Calcs'!J111:J115, 'Attributes Back Calcs'!K111:K115))</f>
        <v>0</v>
      </c>
      <c r="W24" s="2">
        <f>LOOKUP('Attributes Inputs and Outputs'!$L$8, 'Attributes Back Calcs'!$J$111:$J$115, 'Attributes Back Calcs'!$K$111:$K$115)*2</f>
        <v>900</v>
      </c>
      <c r="X24" s="2"/>
      <c r="Y24" t="s">
        <v>417</v>
      </c>
      <c r="AA24" t="s">
        <v>1264</v>
      </c>
      <c r="AB24" s="98">
        <f>(1-Inputs!J$36)*$AA$15</f>
        <v>19764.081399999999</v>
      </c>
      <c r="AF24" t="s">
        <v>418</v>
      </c>
      <c r="AG24" s="13">
        <f>AG16+AG22</f>
        <v>0</v>
      </c>
    </row>
    <row r="25" spans="3:34" x14ac:dyDescent="0.3">
      <c r="H25" s="13">
        <f>H23*('Attributes Calculations'!$E$16-'Defaults and Ranges'!$D$7)</f>
        <v>0</v>
      </c>
      <c r="I25" s="13">
        <f>I23*('Attributes Calculations'!$E$16-'Defaults and Ranges'!$D$7)</f>
        <v>0</v>
      </c>
      <c r="J25" s="13">
        <f>J23*('Attributes Calculations'!$E$16-'Defaults and Ranges'!$D$7)</f>
        <v>0</v>
      </c>
      <c r="K25" s="13">
        <f>K23*('Attributes Calculations'!$E$16-'Defaults and Ranges'!$D$7)</f>
        <v>0</v>
      </c>
      <c r="L25" s="13"/>
      <c r="M25" s="13"/>
      <c r="N25" s="13">
        <v>300</v>
      </c>
      <c r="O25" s="13"/>
      <c r="P25" s="13">
        <f>P23*('Attributes Calculations'!$E$16-'Defaults and Ranges'!$D$7)</f>
        <v>0</v>
      </c>
      <c r="Q25" t="s">
        <v>88</v>
      </c>
      <c r="R25" s="13"/>
      <c r="S25" s="13"/>
      <c r="T25" t="s">
        <v>419</v>
      </c>
      <c r="U25" s="2">
        <f>E16*('Attributes Back Calcs'!V42-'Attributes Back Calcs'!V41)</f>
        <v>-1524.1988950276245</v>
      </c>
      <c r="V25" t="s">
        <v>381</v>
      </c>
      <c r="W25" t="s">
        <v>420</v>
      </c>
      <c r="X25" t="s">
        <v>420</v>
      </c>
      <c r="Y25">
        <f>Y15/2</f>
        <v>0</v>
      </c>
      <c r="AA25" t="s">
        <v>1265</v>
      </c>
      <c r="AB25" s="98">
        <f>(1-Inputs!K$36)*$AA$15</f>
        <v>22587.5216</v>
      </c>
    </row>
    <row r="26" spans="3:34" ht="14.4" customHeight="1" x14ac:dyDescent="0.3">
      <c r="J26" t="s">
        <v>421</v>
      </c>
      <c r="K26" t="s">
        <v>269</v>
      </c>
      <c r="N26" t="s">
        <v>61</v>
      </c>
      <c r="P26" t="s">
        <v>269</v>
      </c>
      <c r="Q26" s="13">
        <f>'Package Price Back Calcs'!G661+'Package Price Back Calcs'!G662</f>
        <v>0</v>
      </c>
      <c r="T26" s="13">
        <f>T10*'Attributes Back Calcs'!O88*'Attributes Back Calcs'!O90</f>
        <v>800</v>
      </c>
      <c r="V26" s="2">
        <f>V16*(LOOKUP('Attributes Inputs and Outputs'!K8, 'Attributes Back Calcs'!J76:J80, 'Attributes Back Calcs'!K76:K80)- LOOKUP('Defaults and Ranges'!N6, 'Attributes Back Calcs'!J76:J80, 'Attributes Back Calcs'!K76:K80))*'Attributes Back Calcs'!G6</f>
        <v>0</v>
      </c>
      <c r="W26" s="2">
        <f>('Attributes Back Calcs'!$G$5+'Attributes Back Calcs'!$G$9)*'Attributes Back Calcs'!$K$120*(1+Inputs!$C$12)^('Attributes Inputs and Outputs'!$L$8-8)</f>
        <v>1347.0187500000002</v>
      </c>
      <c r="X26" s="2">
        <f>('Attributes Back Calcs'!$G$4)*'Attributes Back Calcs'!$K$120*(1+Inputs!$C$12)^('Attributes Inputs and Outputs'!$M$8-8)</f>
        <v>1347.0187500000002</v>
      </c>
      <c r="Y26" t="s">
        <v>422</v>
      </c>
      <c r="AA26" t="s">
        <v>1266</v>
      </c>
      <c r="AB26" s="98">
        <f>(1-Inputs!L$36)*$AA$15</f>
        <v>25410.961799999997</v>
      </c>
      <c r="AF26" t="s">
        <v>423</v>
      </c>
      <c r="AG26" s="13">
        <f>AG16+'Attributes Back Calcs'!AH6</f>
        <v>4000</v>
      </c>
    </row>
    <row r="27" spans="3:34" x14ac:dyDescent="0.3">
      <c r="J27" s="13">
        <v>150</v>
      </c>
      <c r="K27" s="13">
        <v>300</v>
      </c>
      <c r="L27" s="13"/>
      <c r="M27" s="13"/>
      <c r="N27" s="13">
        <f>'Package Price Back Calcs'!G490</f>
        <v>4193.2</v>
      </c>
      <c r="O27" s="13"/>
      <c r="P27" s="13">
        <v>300</v>
      </c>
      <c r="Q27" s="13" t="s">
        <v>1119</v>
      </c>
      <c r="R27" s="13"/>
      <c r="S27" s="13"/>
      <c r="T27" t="s">
        <v>424</v>
      </c>
      <c r="V27" t="s">
        <v>392</v>
      </c>
      <c r="W27" t="s">
        <v>425</v>
      </c>
      <c r="X27" t="s">
        <v>425</v>
      </c>
      <c r="Y27" s="13">
        <f>Y25*Inputs!C19</f>
        <v>0</v>
      </c>
      <c r="AF27" t="s">
        <v>426</v>
      </c>
      <c r="AG27" s="13">
        <f>AG22+'Attributes Back Calcs'!AH7</f>
        <v>4000</v>
      </c>
    </row>
    <row r="28" spans="3:34" x14ac:dyDescent="0.3">
      <c r="K28" t="s">
        <v>427</v>
      </c>
      <c r="P28" t="s">
        <v>428</v>
      </c>
      <c r="Q28" s="51">
        <f>SUM(Q16,Q18,Q20,Q22,Q24, Q26)</f>
        <v>5116.9218749999991</v>
      </c>
      <c r="R28" s="14"/>
      <c r="T28" s="13">
        <f>'Attributes Back Calcs'!R92*'Attributes Back Calcs'!R99+'Attributes Back Calcs'!R107</f>
        <v>1768</v>
      </c>
      <c r="V28" s="2">
        <f>V16*(LOOKUP('Attributes Inputs and Outputs'!K8, 'Attributes Back Calcs'!J85:J89, 'Attributes Back Calcs'!K85:K89)-LOOKUP('Defaults and Ranges'!N6, 'Attributes Back Calcs'!J85:J89, 'Attributes Back Calcs'!K85:K89))*'Attributes Back Calcs'!G6</f>
        <v>0</v>
      </c>
      <c r="W28" s="2">
        <f>LOOKUP('Attributes Inputs and Outputs'!$L$8, 'Attributes Back Calcs'!$J$127:$J$131, 'Attributes Back Calcs'!$K$127:$K$131)*2</f>
        <v>350</v>
      </c>
      <c r="X28" s="2"/>
      <c r="Y28" t="s">
        <v>429</v>
      </c>
      <c r="AF28" t="s">
        <v>430</v>
      </c>
      <c r="AG28" s="13">
        <f>AG26+AG27</f>
        <v>8000</v>
      </c>
    </row>
    <row r="29" spans="3:34" x14ac:dyDescent="0.3">
      <c r="K29">
        <v>0</v>
      </c>
      <c r="P29" s="13">
        <v>500</v>
      </c>
      <c r="Q29" s="13" t="s">
        <v>1120</v>
      </c>
      <c r="R29" s="13"/>
      <c r="S29" s="13"/>
      <c r="T29" t="s">
        <v>431</v>
      </c>
      <c r="V29" t="s">
        <v>400</v>
      </c>
      <c r="W29" t="s">
        <v>432</v>
      </c>
      <c r="X29" t="s">
        <v>432</v>
      </c>
      <c r="Y29">
        <v>1</v>
      </c>
    </row>
    <row r="30" spans="3:34" ht="14.4" customHeight="1" x14ac:dyDescent="0.3">
      <c r="K30" t="s">
        <v>1276</v>
      </c>
      <c r="P30" t="s">
        <v>433</v>
      </c>
      <c r="Q30" s="13">
        <f>SUM(Q18,Q20,Q22*2/3,Q24,Q26)</f>
        <v>2306.2593750000001</v>
      </c>
      <c r="R30" s="51"/>
      <c r="T30" s="13">
        <f>'Attributes Back Calcs'!P113*'Attributes Back Calcs'!P110+'Attributes Back Calcs'!P114*'Attributes Back Calcs'!P112</f>
        <v>242</v>
      </c>
      <c r="V30" s="2">
        <f>V16*(LOOKUP('Attributes Inputs and Outputs'!K8, 'Attributes Back Calcs'!J95:J99, 'Attributes Back Calcs'!K95:K99)-LOOKUP('Defaults and Ranges'!N6, 'Attributes Back Calcs'!J95:J99, 'Attributes Back Calcs'!K95:K99))*'Attributes Back Calcs'!G6</f>
        <v>0</v>
      </c>
      <c r="W30" s="2">
        <f>('Attributes Back Calcs'!$G$5)*'Attributes Back Calcs'!$K$135*LOOKUP('Attributes Inputs and Outputs'!L8, 'Attributes Back Calcs'!$J$138:$J$142, 'Attributes Back Calcs'!$L$135:$L$139)</f>
        <v>1416.7124999999999</v>
      </c>
      <c r="X30" s="2">
        <f>('Attributes Back Calcs'!$G$4)*'Attributes Back Calcs'!$K$136*LOOKUP('Attributes Inputs and Outputs'!M8, 'Attributes Back Calcs'!$J$138:$J$142, 'Attributes Back Calcs'!$L$135:$L$139)</f>
        <v>2260.7307692307695</v>
      </c>
      <c r="Y30" t="s">
        <v>434</v>
      </c>
    </row>
    <row r="31" spans="3:34" x14ac:dyDescent="0.3">
      <c r="K31">
        <v>2500</v>
      </c>
      <c r="P31" s="13">
        <v>300</v>
      </c>
      <c r="Q31" s="13" t="s">
        <v>378</v>
      </c>
      <c r="R31" s="13"/>
      <c r="S31" s="13"/>
      <c r="T31" s="13" t="s">
        <v>1075</v>
      </c>
      <c r="V31" t="s">
        <v>420</v>
      </c>
      <c r="W31" s="2"/>
      <c r="X31" s="2"/>
      <c r="Y31" s="13">
        <f>Y29*Y15*Inputs!C20</f>
        <v>0</v>
      </c>
    </row>
    <row r="32" spans="3:34" x14ac:dyDescent="0.3">
      <c r="E32" s="47"/>
      <c r="P32" t="s">
        <v>163</v>
      </c>
      <c r="Q32" s="13">
        <f>'Package Price Back Calcs'!G747</f>
        <v>817.83281250000005</v>
      </c>
      <c r="T32" s="13">
        <f>IF(T10&gt;2,6*15*12*(T10-2),0)</f>
        <v>0</v>
      </c>
      <c r="V32" s="2">
        <f>V16*(LOOKUP('Attributes Inputs and Outputs'!K8, 'Attributes Back Calcs'!J120:J124, 'Attributes Back Calcs'!K120:K124)-LOOKUP('Defaults and Ranges'!N6, 'Attributes Back Calcs'!J120:J124, 'Attributes Back Calcs'!K120:K124))*'Attributes Back Calcs'!G6</f>
        <v>0</v>
      </c>
      <c r="W32" t="s">
        <v>436</v>
      </c>
      <c r="X32" t="s">
        <v>436</v>
      </c>
    </row>
    <row r="33" spans="4:24" x14ac:dyDescent="0.3">
      <c r="P33" s="13">
        <v>1000</v>
      </c>
      <c r="Q33" s="13"/>
      <c r="R33" s="13"/>
      <c r="S33" s="13"/>
      <c r="T33" t="s">
        <v>435</v>
      </c>
      <c r="V33" t="s">
        <v>425</v>
      </c>
      <c r="W33" t="s">
        <v>368</v>
      </c>
      <c r="X33" t="s">
        <v>368</v>
      </c>
    </row>
    <row r="34" spans="4:24" x14ac:dyDescent="0.3">
      <c r="T34" t="s">
        <v>365</v>
      </c>
      <c r="V34" s="2">
        <f>V16*(LOOKUP('Attributes Inputs and Outputs'!K8, 'Attributes Back Calcs'!J127:J131, 'Attributes Back Calcs'!K127:K131)-LOOKUP('Defaults and Ranges'!N6, 'Attributes Back Calcs'!J127:J131, 'Attributes Back Calcs'!K127:K131))</f>
        <v>0</v>
      </c>
      <c r="W34" s="2">
        <f>('Attributes Back Calcs'!$Z$9*'Attributes Back Calcs'!$G$5)*(1+Inputs!$C$10)^('Defaults and Ranges'!O6-8)</f>
        <v>742.08750000000009</v>
      </c>
      <c r="X34" s="2">
        <f>('Attributes Back Calcs'!$Z$9*'Attributes Back Calcs'!$G$4)*(1+Inputs!$C$10)^('Defaults and Ranges'!P6-8)</f>
        <v>1154.5875000000001</v>
      </c>
    </row>
    <row r="35" spans="4:24" x14ac:dyDescent="0.3">
      <c r="T35">
        <f>'Defaults and Ranges'!L6*'Attributes Back Calcs'!O7</f>
        <v>500</v>
      </c>
      <c r="U35" s="10"/>
      <c r="V35" t="s">
        <v>432</v>
      </c>
      <c r="W35" t="s">
        <v>381</v>
      </c>
      <c r="X35" t="s">
        <v>381</v>
      </c>
    </row>
    <row r="36" spans="4:24" x14ac:dyDescent="0.3">
      <c r="T36" t="s">
        <v>379</v>
      </c>
      <c r="V36" s="2">
        <f>V16*(LOOKUP('Attributes Inputs and Outputs'!K8, 'Attributes Back Calcs'!J138:J142, 'Attributes Back Calcs'!L135:L139)-LOOKUP('Defaults and Ranges'!N6, 'Attributes Back Calcs'!J138:J142, 'Attributes Back Calcs'!L135:L139))*'Attributes Back Calcs'!G6*'Attributes Back Calcs'!K134</f>
        <v>0</v>
      </c>
      <c r="W36" s="2">
        <f>('Attributes Back Calcs'!$Z$11*('Attributes Back Calcs'!$G$5+'Attributes Back Calcs'!$G$9))*(1+Inputs!$C$7)^('Defaults and Ranges'!O6-8)</f>
        <v>7697.2500000000009</v>
      </c>
      <c r="X36" s="2">
        <f>('Attributes Back Calcs'!$Z$11*'Attributes Back Calcs'!$G$4)*(1+Inputs!$C$7)^('Defaults and Ranges'!P6-8)</f>
        <v>7697.2500000000009</v>
      </c>
    </row>
    <row r="37" spans="4:24" x14ac:dyDescent="0.3">
      <c r="T37" s="13">
        <f>'Attributes Back Calcs'!$O$15*IF('Defaults and Ranges'!L6=0, 0, 1)+'Attributes Back Calcs'!$O$17*'Attributes Calculations'!T35</f>
        <v>3500</v>
      </c>
      <c r="U37" s="10"/>
      <c r="W37" t="s">
        <v>392</v>
      </c>
      <c r="X37" t="s">
        <v>392</v>
      </c>
    </row>
    <row r="38" spans="4:24" x14ac:dyDescent="0.3">
      <c r="D38" s="42"/>
      <c r="T38" t="s">
        <v>391</v>
      </c>
      <c r="W38" s="2">
        <f>('Attributes Back Calcs'!$Z$14*'Attributes Back Calcs'!$P$99)*(1+Inputs!$C$8)^('Defaults and Ranges'!O6-9)</f>
        <v>4628.2677165354335</v>
      </c>
      <c r="X38" s="2">
        <f>('Attributes Back Calcs'!$AA$14*'Attributes Back Calcs'!$P$99)*(1+Inputs!$C$8)^('Defaults and Ranges'!P6-9)</f>
        <v>4628.2677165354335</v>
      </c>
    </row>
    <row r="39" spans="4:24" x14ac:dyDescent="0.3">
      <c r="D39" s="42"/>
      <c r="T39" s="13">
        <f>(T35*IF('Defaults and Ranges'!$G$6="No",'Attributes Back Calcs'!$K$51,LOOKUP('Defaults and Ranges'!$N$6,'Attributes Back Calcs'!$J$52:$J$56,'Attributes Back Calcs'!$K$52:$K$56)))/2</f>
        <v>3240</v>
      </c>
      <c r="U39" s="10"/>
      <c r="W39" t="s">
        <v>400</v>
      </c>
      <c r="X39" t="s">
        <v>400</v>
      </c>
    </row>
    <row r="40" spans="4:24" x14ac:dyDescent="0.3">
      <c r="T40" s="13" t="s">
        <v>381</v>
      </c>
      <c r="W40" s="2">
        <f>('Attributes Back Calcs'!$G$5+'Attributes Back Calcs'!$G$9)*'Attributes Back Calcs'!$K$95*(1+Inputs!$C$9)^('Defaults and Ranges'!O6-8)</f>
        <v>3673.6875</v>
      </c>
      <c r="X40" s="2">
        <f>('Attributes Back Calcs'!$G$4)*'Attributes Back Calcs'!$K$95*(1+Inputs!$C$9)^('Defaults and Ranges'!P6-8)</f>
        <v>3673.6875</v>
      </c>
    </row>
    <row r="41" spans="4:24" x14ac:dyDescent="0.3">
      <c r="T41" s="13">
        <f>T35*'Attributes Back Calcs'!P116</f>
        <v>2500</v>
      </c>
      <c r="U41" s="10"/>
      <c r="W41" t="s">
        <v>89</v>
      </c>
      <c r="X41" t="s">
        <v>89</v>
      </c>
    </row>
    <row r="42" spans="4:24" x14ac:dyDescent="0.3">
      <c r="T42" t="s">
        <v>407</v>
      </c>
      <c r="W42" s="2">
        <f>('Attributes Back Calcs'!$G$5+'Attributes Back Calcs'!$G$9)*'Attributes Back Calcs'!$K$61*(1+Inputs!$C$11)^('Defaults and Ranges'!O6-8)</f>
        <v>2519.1</v>
      </c>
      <c r="X42" s="2">
        <f>('Attributes Back Calcs'!$G$4)*'Attributes Back Calcs'!$K$61*(1+Inputs!$C$11)^('Defaults and Ranges'!P6-8)</f>
        <v>2519.1</v>
      </c>
    </row>
    <row r="43" spans="4:24" x14ac:dyDescent="0.3">
      <c r="T43" s="13">
        <f>IF('Defaults and Ranges'!$M$6=2, LOOKUP('Defaults and Ranges'!L6, 'Attributes Back Calcs'!$R$48:$R$52,'Attributes Back Calcs'!$P$48:$P$52), LOOKUP('Defaults and Ranges'!L6, 'Attributes Back Calcs'!$R$43:$R$47, 'Attributes Back Calcs'!$P$43:$P$47))-IF('Defaults and Ranges'!$M$6=1, 'Attributes Back Calcs'!$P$43, 'Attributes Back Calcs'!$P$48)</f>
        <v>875</v>
      </c>
      <c r="U43" s="10"/>
      <c r="W43" t="s">
        <v>95</v>
      </c>
      <c r="X43" t="s">
        <v>95</v>
      </c>
    </row>
    <row r="44" spans="4:24" x14ac:dyDescent="0.3">
      <c r="T44" t="s">
        <v>414</v>
      </c>
      <c r="W44" s="2">
        <f>LOOKUP('Defaults and Ranges'!O6, 'Attributes Back Calcs'!J111:J115, 'Attributes Back Calcs'!K111:K115)*2</f>
        <v>900</v>
      </c>
      <c r="X44" s="2"/>
    </row>
    <row r="45" spans="4:24" x14ac:dyDescent="0.3">
      <c r="T45" s="13">
        <f>'Attributes Back Calcs'!O85*'Defaults and Ranges'!L6</f>
        <v>2000</v>
      </c>
      <c r="U45" s="10"/>
      <c r="W45" t="s">
        <v>420</v>
      </c>
      <c r="X45" t="s">
        <v>420</v>
      </c>
    </row>
    <row r="46" spans="4:24" x14ac:dyDescent="0.3">
      <c r="T46" t="s">
        <v>419</v>
      </c>
      <c r="W46" s="2">
        <f>('Attributes Back Calcs'!$G$5+'Attributes Back Calcs'!$G$9)*'Attributes Back Calcs'!$K$120*(1+Inputs!$C$12)^('Defaults and Ranges'!O6-8)</f>
        <v>1347.0187500000002</v>
      </c>
      <c r="X46" s="2">
        <f>('Attributes Back Calcs'!$G$4)*'Attributes Back Calcs'!$K$120*(1+Inputs!$C$12)^('Defaults and Ranges'!P6-8)</f>
        <v>1347.0187500000002</v>
      </c>
    </row>
    <row r="47" spans="4:24" x14ac:dyDescent="0.3">
      <c r="T47" s="13">
        <f>'Defaults and Ranges'!L6*'Attributes Back Calcs'!O88*'Attributes Back Calcs'!O90</f>
        <v>800</v>
      </c>
      <c r="W47" t="s">
        <v>425</v>
      </c>
      <c r="X47" t="s">
        <v>425</v>
      </c>
    </row>
    <row r="48" spans="4:24" x14ac:dyDescent="0.3">
      <c r="T48" t="s">
        <v>424</v>
      </c>
      <c r="W48" s="2">
        <f>LOOKUP('Defaults and Ranges'!O6, 'Attributes Back Calcs'!$J$127:$J$131, 'Attributes Back Calcs'!$K$127:$K$131)*2</f>
        <v>350</v>
      </c>
      <c r="X48" s="2"/>
    </row>
    <row r="49" spans="20:24" x14ac:dyDescent="0.3">
      <c r="T49" s="13">
        <f>'Attributes Back Calcs'!Q92*'Attributes Back Calcs'!Q99+'Attributes Back Calcs'!Q107</f>
        <v>1768</v>
      </c>
      <c r="W49" t="s">
        <v>432</v>
      </c>
      <c r="X49" t="s">
        <v>432</v>
      </c>
    </row>
    <row r="50" spans="20:24" x14ac:dyDescent="0.3">
      <c r="T50" t="s">
        <v>431</v>
      </c>
      <c r="W50" s="2">
        <f>('Attributes Back Calcs'!$G$5)*'Attributes Back Calcs'!$K$135*LOOKUP('Defaults and Ranges'!O6, 'Attributes Back Calcs'!$J$138:$J$142, 'Attributes Back Calcs'!$L$135:$L$139)</f>
        <v>1416.7124999999999</v>
      </c>
      <c r="X50" s="2">
        <f>('Attributes Back Calcs'!$G$4)*'Attributes Back Calcs'!$K$136*LOOKUP('Defaults and Ranges'!P6, 'Attributes Back Calcs'!$J$138:$J$142, 'Attributes Back Calcs'!$L$135:$L$139)</f>
        <v>2260.7307692307695</v>
      </c>
    </row>
    <row r="51" spans="20:24" x14ac:dyDescent="0.3">
      <c r="T51" s="13">
        <f>'Attributes Back Calcs'!Q110*'Attributes Back Calcs'!Q113+'Attributes Back Calcs'!Q112*'Attributes Back Calcs'!Q114</f>
        <v>242</v>
      </c>
    </row>
    <row r="52" spans="20:24" x14ac:dyDescent="0.3">
      <c r="W52" t="s">
        <v>438</v>
      </c>
      <c r="X52" t="s">
        <v>438</v>
      </c>
    </row>
    <row r="53" spans="20:24" x14ac:dyDescent="0.3">
      <c r="T53" t="s">
        <v>437</v>
      </c>
      <c r="W53" t="s">
        <v>368</v>
      </c>
      <c r="X53" t="s">
        <v>368</v>
      </c>
    </row>
    <row r="54" spans="20:24" x14ac:dyDescent="0.3">
      <c r="T54" t="s">
        <v>365</v>
      </c>
      <c r="W54" s="2">
        <f>W14-W34</f>
        <v>0</v>
      </c>
      <c r="X54" s="2">
        <f>X14-X34</f>
        <v>0</v>
      </c>
    </row>
    <row r="55" spans="20:24" x14ac:dyDescent="0.3">
      <c r="T55">
        <f>T14-T35</f>
        <v>0</v>
      </c>
      <c r="W55" t="s">
        <v>381</v>
      </c>
      <c r="X55" t="s">
        <v>381</v>
      </c>
    </row>
    <row r="56" spans="20:24" x14ac:dyDescent="0.3">
      <c r="T56" t="s">
        <v>379</v>
      </c>
      <c r="W56" s="2">
        <f>W16-W36</f>
        <v>0</v>
      </c>
      <c r="X56" s="2">
        <f>X16-X36</f>
        <v>0</v>
      </c>
    </row>
    <row r="57" spans="20:24" x14ac:dyDescent="0.3">
      <c r="T57" s="2">
        <f>T16-T37</f>
        <v>0</v>
      </c>
      <c r="W57" t="s">
        <v>392</v>
      </c>
      <c r="X57" t="s">
        <v>392</v>
      </c>
    </row>
    <row r="58" spans="20:24" x14ac:dyDescent="0.3">
      <c r="T58" t="s">
        <v>391</v>
      </c>
      <c r="W58" s="2">
        <f>W18-W38</f>
        <v>0</v>
      </c>
      <c r="X58" s="2">
        <f>X18-X38</f>
        <v>0</v>
      </c>
    </row>
    <row r="59" spans="20:24" x14ac:dyDescent="0.3">
      <c r="T59" s="2">
        <f>T18-T39</f>
        <v>0</v>
      </c>
      <c r="W59" t="s">
        <v>400</v>
      </c>
      <c r="X59" t="s">
        <v>400</v>
      </c>
    </row>
    <row r="60" spans="20:24" x14ac:dyDescent="0.3">
      <c r="T60" s="13" t="s">
        <v>381</v>
      </c>
      <c r="W60" s="2">
        <f>W20-W40</f>
        <v>0</v>
      </c>
      <c r="X60" s="2">
        <f>X20-X40</f>
        <v>0</v>
      </c>
    </row>
    <row r="61" spans="20:24" x14ac:dyDescent="0.3">
      <c r="T61" s="2">
        <f>T20-T41</f>
        <v>0</v>
      </c>
      <c r="W61" t="s">
        <v>89</v>
      </c>
      <c r="X61" t="s">
        <v>89</v>
      </c>
    </row>
    <row r="62" spans="20:24" x14ac:dyDescent="0.3">
      <c r="T62" t="s">
        <v>407</v>
      </c>
      <c r="W62" s="2">
        <f>W22-W42</f>
        <v>0</v>
      </c>
      <c r="X62" s="2">
        <f>X22-X42</f>
        <v>0</v>
      </c>
    </row>
    <row r="63" spans="20:24" x14ac:dyDescent="0.3">
      <c r="T63" s="2">
        <f>T22-T43</f>
        <v>0</v>
      </c>
      <c r="W63" t="s">
        <v>95</v>
      </c>
      <c r="X63" t="s">
        <v>95</v>
      </c>
    </row>
    <row r="64" spans="20:24" x14ac:dyDescent="0.3">
      <c r="T64" t="s">
        <v>414</v>
      </c>
      <c r="W64" s="2">
        <f>W24-W44</f>
        <v>0</v>
      </c>
      <c r="X64" s="2">
        <f>X24-X44</f>
        <v>0</v>
      </c>
    </row>
    <row r="65" spans="20:24" x14ac:dyDescent="0.3">
      <c r="T65" s="2">
        <f>T24-T45</f>
        <v>0</v>
      </c>
      <c r="W65" t="s">
        <v>420</v>
      </c>
      <c r="X65" t="s">
        <v>420</v>
      </c>
    </row>
    <row r="66" spans="20:24" x14ac:dyDescent="0.3">
      <c r="T66" t="s">
        <v>419</v>
      </c>
      <c r="W66" s="2">
        <f>W26-W46</f>
        <v>0</v>
      </c>
      <c r="X66" s="2">
        <f>X26-X46</f>
        <v>0</v>
      </c>
    </row>
    <row r="67" spans="20:24" x14ac:dyDescent="0.3">
      <c r="T67" s="2">
        <f>T26-T47</f>
        <v>0</v>
      </c>
      <c r="W67" t="s">
        <v>425</v>
      </c>
      <c r="X67" t="s">
        <v>425</v>
      </c>
    </row>
    <row r="68" spans="20:24" x14ac:dyDescent="0.3">
      <c r="T68" t="s">
        <v>424</v>
      </c>
      <c r="W68" s="2">
        <f>W28-W48</f>
        <v>0</v>
      </c>
      <c r="X68" s="2">
        <f>X28-X48</f>
        <v>0</v>
      </c>
    </row>
    <row r="69" spans="20:24" x14ac:dyDescent="0.3">
      <c r="T69" s="2">
        <f>T28-T49</f>
        <v>0</v>
      </c>
      <c r="W69" t="s">
        <v>432</v>
      </c>
      <c r="X69" t="s">
        <v>432</v>
      </c>
    </row>
    <row r="70" spans="20:24" x14ac:dyDescent="0.3">
      <c r="T70" t="s">
        <v>431</v>
      </c>
      <c r="W70" s="2">
        <f>W30-W50</f>
        <v>0</v>
      </c>
      <c r="X70" s="2">
        <f>X30-X50</f>
        <v>0</v>
      </c>
    </row>
    <row r="71" spans="20:24" x14ac:dyDescent="0.3">
      <c r="T71" s="2">
        <f>T30-T51</f>
        <v>0</v>
      </c>
    </row>
    <row r="72" spans="20:24" x14ac:dyDescent="0.3">
      <c r="T72" s="13" t="s">
        <v>1075</v>
      </c>
    </row>
    <row r="73" spans="20:24" x14ac:dyDescent="0.3">
      <c r="T73" s="13">
        <f>T32</f>
        <v>0</v>
      </c>
    </row>
  </sheetData>
  <mergeCells count="1">
    <mergeCell ref="H8:P8"/>
  </mergeCells>
  <pageMargins left="0.7" right="0.7" top="0.75" bottom="0.75" header="0.3" footer="0.3"/>
  <pageSetup orientation="portrait"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1826B43AC52348B0C13354F6496F3A" ma:contentTypeVersion="15" ma:contentTypeDescription="Create a new document." ma:contentTypeScope="" ma:versionID="5c9c42a70bb090e30e04c8aaf9f850c6">
  <xsd:schema xmlns:xsd="http://www.w3.org/2001/XMLSchema" xmlns:xs="http://www.w3.org/2001/XMLSchema" xmlns:p="http://schemas.microsoft.com/office/2006/metadata/properties" xmlns:ns3="b9ed11e2-1e31-456a-90ec-634dbbbe2ef9" xmlns:ns4="3e3e3506-8109-4aae-83f4-3d93f3a43c51" targetNamespace="http://schemas.microsoft.com/office/2006/metadata/properties" ma:root="true" ma:fieldsID="227aa2157e814cd359de2390f91b37ac" ns3:_="" ns4:_="">
    <xsd:import namespace="b9ed11e2-1e31-456a-90ec-634dbbbe2ef9"/>
    <xsd:import namespace="3e3e3506-8109-4aae-83f4-3d93f3a43c51"/>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ed11e2-1e31-456a-90ec-634dbbbe2ef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e3e3506-8109-4aae-83f4-3d93f3a43c51" elementFormDefault="qualified">
    <xsd:import namespace="http://schemas.microsoft.com/office/2006/documentManagement/types"/>
    <xsd:import namespace="http://schemas.microsoft.com/office/infopath/2007/PartnerControls"/>
    <xsd:element name="MediaServiceMetadata" ma:index="13" nillable="true" ma:displayName="MediaServiceMetadata" ma:description="" ma:hidden="true" ma:internalName="MediaServiceMetadata" ma:readOnly="true">
      <xsd:simpleType>
        <xsd:restriction base="dms:Note"/>
      </xsd:simpleType>
    </xsd:element>
    <xsd:element name="MediaServiceFastMetadata" ma:index="14" nillable="true" ma:displayName="MediaServiceFastMetadata" ma:description="" ma:hidden="true" ma:internalName="MediaServiceFastMetadata" ma:readOnly="true">
      <xsd:simpleType>
        <xsd:restriction base="dms:Note"/>
      </xsd:simpleType>
    </xsd:element>
    <xsd:element name="MediaServiceAutoTags" ma:index="15" nillable="true" ma:displayName="MediaServiceAutoTags" ma:description="" ma:internalName="MediaServiceAutoTags" ma:readOnly="true">
      <xsd:simpleType>
        <xsd:restriction base="dms:Text"/>
      </xsd:simpleType>
    </xsd:element>
    <xsd:element name="MediaServiceDateTaken" ma:index="16" nillable="true" ma:displayName="MediaServiceDateTaken" ma:description="" ma:hidden="true" ma:internalName="MediaServiceDateTaken" ma:readOnly="true">
      <xsd:simpleType>
        <xsd:restriction base="dms:Text"/>
      </xsd:simpleType>
    </xsd:element>
    <xsd:element name="MediaServiceLocation" ma:index="17" nillable="true" ma:displayName="MediaServiceLocation" ma:description="" ma:internalName="MediaServiceLocation" ma:readOnly="true">
      <xsd:simpleType>
        <xsd:restriction base="dms:Text"/>
      </xsd:simpleType>
    </xsd:element>
    <xsd:element name="MediaServiceOCR" ma:index="18" nillable="true" ma:displayName="MediaServiceOCR" ma:internalName="MediaServiceOCR" ma:readOnly="true">
      <xsd:simpleType>
        <xsd:restriction base="dms:Note">
          <xsd:maxLength value="255"/>
        </xsd:restriction>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9E79C42-C8C2-4EFC-8A37-D256555F7796}">
  <ds:schemaRefs>
    <ds:schemaRef ds:uri="http://schemas.microsoft.com/sharepoint/v3/contenttype/forms"/>
  </ds:schemaRefs>
</ds:datastoreItem>
</file>

<file path=customXml/itemProps2.xml><?xml version="1.0" encoding="utf-8"?>
<ds:datastoreItem xmlns:ds="http://schemas.openxmlformats.org/officeDocument/2006/customXml" ds:itemID="{E46A09DE-6F2D-4551-9D76-72889C1848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9ed11e2-1e31-456a-90ec-634dbbbe2ef9"/>
    <ds:schemaRef ds:uri="3e3e3506-8109-4aae-83f4-3d93f3a43c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9AC39C-4D61-47EE-97F8-104D8E7470A2}">
  <ds:schemaRefs>
    <ds:schemaRef ds:uri="http://purl.org/dc/elements/1.1/"/>
    <ds:schemaRef ds:uri="http://schemas.microsoft.com/office/2006/metadata/properties"/>
    <ds:schemaRef ds:uri="b9ed11e2-1e31-456a-90ec-634dbbbe2ef9"/>
    <ds:schemaRef ds:uri="http://purl.org/dc/terms/"/>
    <ds:schemaRef ds:uri="3e3e3506-8109-4aae-83f4-3d93f3a43c5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Pricing Inputs</vt:lpstr>
      <vt:lpstr>Notes</vt:lpstr>
      <vt:lpstr>Attributes Inputs and Outputs</vt:lpstr>
      <vt:lpstr>Packages Inputs and Outputs</vt:lpstr>
      <vt:lpstr>Package Price Calculations</vt:lpstr>
      <vt:lpstr>Package Price Back Calcs</vt:lpstr>
      <vt:lpstr>Defaults and Ranges</vt:lpstr>
      <vt:lpstr>Inputs</vt:lpstr>
      <vt:lpstr>Attributes Calculations</vt:lpstr>
      <vt:lpstr>Attributes Back Calcs</vt:lpstr>
    </vt:vector>
  </TitlesOfParts>
  <Manager/>
  <Company>U.S Air Force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1186341526V</dc:creator>
  <cp:keywords/>
  <dc:description/>
  <cp:lastModifiedBy>Parham, Nicholas F C1C USAF USAFA CW/CS31</cp:lastModifiedBy>
  <cp:revision/>
  <dcterms:created xsi:type="dcterms:W3CDTF">2015-08-23T13:13:02Z</dcterms:created>
  <dcterms:modified xsi:type="dcterms:W3CDTF">2021-05-07T21:54:47Z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0x010100C21826B43AC52348B0C13354F6496F3A</vt:lpwstr>
  </property>
</Properties>
</file>