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ables 1" sheetId="1" r:id="rId4"/>
    <sheet state="hidden" name="Tables 2" sheetId="2" r:id="rId5"/>
    <sheet state="visible" name="Data" sheetId="3" r:id="rId6"/>
    <sheet state="visible" name="Graphs 1 (Influences)" sheetId="4" r:id="rId7"/>
    <sheet state="visible" name="Graphs 2 (Influences)" sheetId="5" r:id="rId8"/>
    <sheet state="visible" name="Graphs 3 (Influences)" sheetId="6" r:id="rId9"/>
    <sheet state="visible" name="Influence wise Analysis" sheetId="7" r:id="rId10"/>
    <sheet state="visible" name="agency wise influences" sheetId="8" r:id="rId11"/>
  </sheets>
  <definedNames>
    <definedName hidden="1" localSheetId="2" name="_xlnm._FilterDatabase">Data!$A$1:$O$87</definedName>
  </definedNames>
  <calcPr/>
  <extLst>
    <ext uri="GoogleSheetsCustomDataVersion2">
      <go:sheetsCustomData xmlns:go="http://customooxmlschemas.google.com/" r:id="rId12" roundtripDataChecksum="W0/g/uOAZOP/HpXdckPoc65rGkYzFAGGfImGEdtpf4k="/>
    </ext>
  </extLst>
</workbook>
</file>

<file path=xl/sharedStrings.xml><?xml version="1.0" encoding="utf-8"?>
<sst xmlns="http://schemas.openxmlformats.org/spreadsheetml/2006/main" count="1556" uniqueCount="215">
  <si>
    <t>Bureaucratic Connections (NA)</t>
  </si>
  <si>
    <t>Military Influence (NA)</t>
  </si>
  <si>
    <t>Social/ Tribal/ Hereditary</t>
  </si>
  <si>
    <t>Family in Politics</t>
  </si>
  <si>
    <t>Year</t>
  </si>
  <si>
    <t>Total</t>
  </si>
  <si>
    <t>NA</t>
  </si>
  <si>
    <t>KP</t>
  </si>
  <si>
    <t>Very High</t>
  </si>
  <si>
    <t>High</t>
  </si>
  <si>
    <t>HIGH</t>
  </si>
  <si>
    <t>Medium</t>
  </si>
  <si>
    <t>LOW</t>
  </si>
  <si>
    <t>Low</t>
  </si>
  <si>
    <t>Very Low</t>
  </si>
  <si>
    <t>None</t>
  </si>
  <si>
    <t>Yes</t>
  </si>
  <si>
    <t>No</t>
  </si>
  <si>
    <t>Bureaucratic Connections (KP)</t>
  </si>
  <si>
    <t>Bureaucratic</t>
  </si>
  <si>
    <t>Religious Affiliation</t>
  </si>
  <si>
    <t>Financial Transactions</t>
  </si>
  <si>
    <t>Economic Wealth</t>
  </si>
  <si>
    <t>Assembly</t>
  </si>
  <si>
    <t>Assembly Constituency</t>
  </si>
  <si>
    <t>Agency/ District</t>
  </si>
  <si>
    <t xml:space="preserve">Candidate </t>
  </si>
  <si>
    <t>Platform</t>
  </si>
  <si>
    <t>Bureaucratic Connections</t>
  </si>
  <si>
    <t>Family in Politics (Previous)</t>
  </si>
  <si>
    <t>Religious Affiliations (Scale)</t>
  </si>
  <si>
    <t>Religious Affiliations (Party/ Sect)</t>
  </si>
  <si>
    <t>Conditional Electoral Deposits</t>
  </si>
  <si>
    <t>Military Influence</t>
  </si>
  <si>
    <t>NA-43 Bajuar - I</t>
  </si>
  <si>
    <t>Bajaur</t>
  </si>
  <si>
    <t>Muhammad Sadiq</t>
  </si>
  <si>
    <t>IND</t>
  </si>
  <si>
    <t>JUIF</t>
  </si>
  <si>
    <t>NA-44 Bajuar - II</t>
  </si>
  <si>
    <t>Haroon Rasheed</t>
  </si>
  <si>
    <t>JI</t>
  </si>
  <si>
    <t>NA-36 Mohmand - I</t>
  </si>
  <si>
    <t>Mohmand</t>
  </si>
  <si>
    <t>Ghulam Muhammad Sadiq</t>
  </si>
  <si>
    <t>NA-45 Khyber - I</t>
  </si>
  <si>
    <t>Khyber</t>
  </si>
  <si>
    <t>Noor-ul-Haq Qadri</t>
  </si>
  <si>
    <t>NA-46 Khyber - II</t>
  </si>
  <si>
    <t>Khalil-ur-Rehman Afridi</t>
  </si>
  <si>
    <t>NA-37 Kurram - I</t>
  </si>
  <si>
    <t>Kurram</t>
  </si>
  <si>
    <t>Syed Javaid Hussain Mian</t>
  </si>
  <si>
    <t>Peer</t>
  </si>
  <si>
    <t>NA-38 Kurram - II</t>
  </si>
  <si>
    <t xml:space="preserve">Munir Khan Orakzai </t>
  </si>
  <si>
    <t>NA-39 Orakzai</t>
  </si>
  <si>
    <t>Orakzai</t>
  </si>
  <si>
    <t>Syed Ghazi Gulab Jamal</t>
  </si>
  <si>
    <t>NA-40 North Waziristan</t>
  </si>
  <si>
    <t>North Waziristan</t>
  </si>
  <si>
    <t>Nek Zaman</t>
  </si>
  <si>
    <t>NA-41 South Waziristan - I</t>
  </si>
  <si>
    <t>South Waziristan</t>
  </si>
  <si>
    <t>Abdul Maalik Wazir</t>
  </si>
  <si>
    <t>NA-42 South Waziristan - II</t>
  </si>
  <si>
    <t xml:space="preserve">Muhammad Miraj-ud-Din </t>
  </si>
  <si>
    <t>NA-47 FR Peshawar</t>
  </si>
  <si>
    <t>Frontier Regions</t>
  </si>
  <si>
    <t>Naseem Afridi</t>
  </si>
  <si>
    <t>Shaukat Ullah Khan</t>
  </si>
  <si>
    <t>Syed Akonzada Chattan</t>
  </si>
  <si>
    <t>PPP</t>
  </si>
  <si>
    <t xml:space="preserve">Bilal-ur-Rehman </t>
  </si>
  <si>
    <t>Hammid Ullah Jan Afridi</t>
  </si>
  <si>
    <t>Sajid Hussain Turi</t>
  </si>
  <si>
    <t>Shia</t>
  </si>
  <si>
    <t>Jawad Hussain</t>
  </si>
  <si>
    <t>Muhammad Kamran Khan</t>
  </si>
  <si>
    <t>Postponed</t>
  </si>
  <si>
    <t>Zafar Baig Bhittani</t>
  </si>
  <si>
    <t>Bismillah Khan</t>
  </si>
  <si>
    <t>NA-44 Bajuar -II</t>
  </si>
  <si>
    <t>Shahab-ud-Din Khan</t>
  </si>
  <si>
    <t>NA-36 Mohmand</t>
  </si>
  <si>
    <t>Shahjee Gul Afridi</t>
  </si>
  <si>
    <t xml:space="preserve"> Very High</t>
  </si>
  <si>
    <t>Nasir Khan</t>
  </si>
  <si>
    <t xml:space="preserve">Orakzai </t>
  </si>
  <si>
    <t>Muhammad Nazir Khan</t>
  </si>
  <si>
    <t>PML(N)</t>
  </si>
  <si>
    <t>Ghalib Khan Wazir</t>
  </si>
  <si>
    <t>Muhammad Jamal-ud-Din</t>
  </si>
  <si>
    <t>JUI(F)</t>
  </si>
  <si>
    <t>NA-47 FR Kohat</t>
  </si>
  <si>
    <t>Qaiser Jamal</t>
  </si>
  <si>
    <t>PTI</t>
  </si>
  <si>
    <t xml:space="preserve">None </t>
  </si>
  <si>
    <t xml:space="preserve">NA-40 Bajaur-I </t>
  </si>
  <si>
    <t>Gul Dad Khan</t>
  </si>
  <si>
    <t>NA-41 Bajaur-II</t>
  </si>
  <si>
    <t>Gul Zafar Khan</t>
  </si>
  <si>
    <t>NA-42 Mohmand</t>
  </si>
  <si>
    <t>Sajid Khan Mohmand</t>
  </si>
  <si>
    <t>NA-43 Khyber-I</t>
  </si>
  <si>
    <t>NA-44 Khyber-II</t>
  </si>
  <si>
    <t>Muhammad Iqbal Khan</t>
  </si>
  <si>
    <t>NA-45 Kurram-I</t>
  </si>
  <si>
    <t>Munir Khan Orakzai</t>
  </si>
  <si>
    <t>NA-46 Kurram-II</t>
  </si>
  <si>
    <t>NA-47 Orakzai</t>
  </si>
  <si>
    <t>NA-48 North Waziristan</t>
  </si>
  <si>
    <t>Mohsin Dawar</t>
  </si>
  <si>
    <t>PTM</t>
  </si>
  <si>
    <t>NA-49 South Waziristan-I</t>
  </si>
  <si>
    <t>NA-50 South Waziristan-II</t>
  </si>
  <si>
    <t>Ali Wazir</t>
  </si>
  <si>
    <t>NA-51 Frontier Regions</t>
  </si>
  <si>
    <t>Abdul Shakor</t>
  </si>
  <si>
    <t>PK-100 Bajuar-I</t>
  </si>
  <si>
    <t xml:space="preserve">Bajaur </t>
  </si>
  <si>
    <t>Anwar Zeb Khan</t>
  </si>
  <si>
    <t>PK-101 Bajaur -II</t>
  </si>
  <si>
    <t>Ajmal Khan</t>
  </si>
  <si>
    <t>Pk-102 Bajuar-III</t>
  </si>
  <si>
    <t>Siraj-ud-Din</t>
  </si>
  <si>
    <t>PK-105 Khyber-1</t>
  </si>
  <si>
    <t>Shafiq Sher Afridi</t>
  </si>
  <si>
    <t>very High</t>
  </si>
  <si>
    <t>PK-106 Khyber-II</t>
  </si>
  <si>
    <t>Bilawal Afridi</t>
  </si>
  <si>
    <t>PK-107 Khyber-III</t>
  </si>
  <si>
    <t>Muhammad Shafique</t>
  </si>
  <si>
    <t>PK-108 Kurram-II</t>
  </si>
  <si>
    <t>Muhammad Riaz</t>
  </si>
  <si>
    <t>low</t>
  </si>
  <si>
    <t>PK-108 Kurram-I</t>
  </si>
  <si>
    <t>Syed Iqbal Mian</t>
  </si>
  <si>
    <t>PK-104 Mohmand-II</t>
  </si>
  <si>
    <t>Nisar Ahmad Mohmand</t>
  </si>
  <si>
    <t>ANP</t>
  </si>
  <si>
    <t>PK-103 Mohmand-I</t>
  </si>
  <si>
    <t>Abbas-ur-Rehman</t>
  </si>
  <si>
    <t>PK-111 North Waziristan-I</t>
  </si>
  <si>
    <t>pk-112 North Waziristan-II</t>
  </si>
  <si>
    <t>Mir Kalam Wazir</t>
  </si>
  <si>
    <t>PK-110 Orakzai</t>
  </si>
  <si>
    <t>Syed Ghazi Ghazan Jamal</t>
  </si>
  <si>
    <t>PK-113 South Waziristan-I</t>
  </si>
  <si>
    <t>Hafiz Assam-ud-Din</t>
  </si>
  <si>
    <t>PK-114 South Waziristan-II</t>
  </si>
  <si>
    <t>Naseer Ullah Khan</t>
  </si>
  <si>
    <t>PK-115 Ex-Frontier Regions</t>
  </si>
  <si>
    <t>Muhammad Shoaib</t>
  </si>
  <si>
    <t>NA-8 Bajaur</t>
  </si>
  <si>
    <t>NA-26 Mohmand</t>
  </si>
  <si>
    <t>NA-27 Khyber</t>
  </si>
  <si>
    <t>NA-37 Kurram</t>
  </si>
  <si>
    <t>Hamid Hussain</t>
  </si>
  <si>
    <t>MWM</t>
  </si>
  <si>
    <t>Misbah-ud-Din</t>
  </si>
  <si>
    <t xml:space="preserve">NA-42 South Waziristan
</t>
  </si>
  <si>
    <t>Zubair Khan</t>
  </si>
  <si>
    <t xml:space="preserve">PK-19 Bajaur-I
</t>
  </si>
  <si>
    <t>Hamid-ur-Rehaman</t>
  </si>
  <si>
    <t>PK-20 Bajaur-II</t>
  </si>
  <si>
    <t>PK-21 Bajaur-III</t>
  </si>
  <si>
    <t>PK-22 Bajaur-IV</t>
  </si>
  <si>
    <t>PK-67 Mohmand-I</t>
  </si>
  <si>
    <t>Mehboob Sher</t>
  </si>
  <si>
    <t>PK-68 Mohmand-II</t>
  </si>
  <si>
    <t>Muhammad Israr</t>
  </si>
  <si>
    <t>PK-69 Khyber-I</t>
  </si>
  <si>
    <t>Muhammad Adnan Qadri</t>
  </si>
  <si>
    <t>PK-70 Khyber-II</t>
  </si>
  <si>
    <t>Muhammad Sohail Afridi</t>
  </si>
  <si>
    <t>PK-71 Khyber-III</t>
  </si>
  <si>
    <t>Abdul Ghani</t>
  </si>
  <si>
    <t>PK-94 Orakzai</t>
  </si>
  <si>
    <t>Aurangzeb Khan</t>
  </si>
  <si>
    <t>PK-95 Kurram-I</t>
  </si>
  <si>
    <t>PK-96 Kurram-II</t>
  </si>
  <si>
    <t>kurram</t>
  </si>
  <si>
    <t>Ali Hadi</t>
  </si>
  <si>
    <t>PK-103 North Waziristan-I</t>
  </si>
  <si>
    <t>PTIP</t>
  </si>
  <si>
    <t>PK-104 North Waziristan-II</t>
  </si>
  <si>
    <t>Naik Muhammad Khan</t>
  </si>
  <si>
    <t>PK-109 South Waziristan Upper</t>
  </si>
  <si>
    <t>Asif Khan Mehsud</t>
  </si>
  <si>
    <t>PK-110 South Waziristan Lower</t>
  </si>
  <si>
    <t>Ajab Gul Wazir</t>
  </si>
  <si>
    <t>2002 (NA)</t>
  </si>
  <si>
    <t>2008 (NA)</t>
  </si>
  <si>
    <t>2013 (NA)</t>
  </si>
  <si>
    <t>2018 (NA)</t>
  </si>
  <si>
    <t>2019 (KP)</t>
  </si>
  <si>
    <t>2024 (NA)</t>
  </si>
  <si>
    <t>2024 (KP)</t>
  </si>
  <si>
    <t xml:space="preserve">north waziristan - pre-plan rigging .... mohsin dawar case... </t>
  </si>
  <si>
    <t>link the 2024 influence for military influence with political parties (PTI vs others)</t>
  </si>
  <si>
    <t>§</t>
  </si>
  <si>
    <t>Religious Affiliation (Party/ Sect)</t>
  </si>
  <si>
    <t>Party Platform</t>
  </si>
  <si>
    <t>Other</t>
  </si>
  <si>
    <t>Years</t>
  </si>
  <si>
    <t>Bureaucratic Influence</t>
  </si>
  <si>
    <t>Tribal Social Capital</t>
  </si>
  <si>
    <t>Ideological Influence</t>
  </si>
  <si>
    <t>Influences on voter behaviours in 2008 Elections</t>
  </si>
  <si>
    <t>Religious Influence</t>
  </si>
  <si>
    <t>Influences on voter behaviours in 2018 Elections</t>
  </si>
  <si>
    <t>Influences on voter behaviours in 2013 Elections</t>
  </si>
  <si>
    <t>Influences on voter behaviours in 2024 Elections</t>
  </si>
  <si>
    <t>Influences on voter behaviours in 2002 Elections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</si>
</sst>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sz val="9.0"/>
      <color rgb="FF7E3794"/>
      <name val="&quot;Google Sans Mono&quot;"/>
    </font>
    <font>
      <sz val="11.0"/>
      <color rgb="FF1F1F1F"/>
      <name val="&quot;Google Sans&quot;"/>
    </font>
    <font>
      <b/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1" fillId="6" fontId="1" numFmtId="0" xfId="0" applyAlignment="1" applyBorder="1" applyFill="1" applyFont="1">
      <alignment readingOrder="0"/>
    </xf>
    <xf borderId="0" fillId="7" fontId="1" numFmtId="0" xfId="0" applyAlignment="1" applyFill="1" applyFont="1">
      <alignment readingOrder="0"/>
    </xf>
    <xf borderId="1" fillId="6" fontId="1" numFmtId="0" xfId="0" applyBorder="1" applyFont="1"/>
    <xf borderId="0" fillId="0" fontId="1" numFmtId="0" xfId="0" applyFont="1"/>
    <xf borderId="1" fillId="8" fontId="1" numFmtId="0" xfId="0" applyBorder="1" applyFill="1" applyFont="1"/>
    <xf borderId="1" fillId="9" fontId="1" numFmtId="0" xfId="0" applyBorder="1" applyFill="1" applyFont="1"/>
    <xf borderId="1" fillId="0" fontId="1" numFmtId="0" xfId="0" applyBorder="1" applyFont="1"/>
    <xf borderId="2" fillId="6" fontId="2" numFmtId="0" xfId="0" applyAlignment="1" applyBorder="1" applyFont="1">
      <alignment horizontal="left" shrinkToFit="0" vertical="top" wrapText="1"/>
    </xf>
    <xf borderId="3" fillId="6" fontId="2" numFmtId="0" xfId="0" applyAlignment="1" applyBorder="1" applyFont="1">
      <alignment horizontal="left" shrinkToFit="0" vertical="top" wrapText="1"/>
    </xf>
    <xf borderId="4" fillId="6" fontId="2" numFmtId="0" xfId="0" applyAlignment="1" applyBorder="1" applyFont="1">
      <alignment horizontal="left" readingOrder="0" shrinkToFit="0" vertical="top" wrapText="1"/>
    </xf>
    <xf borderId="2" fillId="6" fontId="2" numFmtId="0" xfId="0" applyAlignment="1" applyBorder="1" applyFont="1">
      <alignment horizontal="left" readingOrder="0" shrinkToFit="0" vertical="top" wrapText="1"/>
    </xf>
    <xf borderId="2" fillId="10" fontId="2" numFmtId="0" xfId="0" applyAlignment="1" applyBorder="1" applyFill="1" applyFont="1">
      <alignment horizontal="left" shrinkToFit="0" vertical="top" wrapText="1"/>
    </xf>
    <xf borderId="2" fillId="6" fontId="3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6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readingOrder="0" vertical="top"/>
    </xf>
    <xf borderId="7" fillId="11" fontId="2" numFmtId="0" xfId="0" applyAlignment="1" applyBorder="1" applyFill="1" applyFont="1">
      <alignment horizontal="left" readingOrder="0" vertical="top"/>
    </xf>
    <xf borderId="6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7" fontId="2" numFmtId="0" xfId="0" applyAlignment="1" applyFont="1">
      <alignment horizontal="left" vertical="top"/>
    </xf>
    <xf borderId="7" fillId="8" fontId="2" numFmtId="0" xfId="0" applyAlignment="1" applyBorder="1" applyFont="1">
      <alignment horizontal="left" vertical="top"/>
    </xf>
    <xf borderId="8" fillId="8" fontId="2" numFmtId="0" xfId="0" applyAlignment="1" applyBorder="1" applyFont="1">
      <alignment horizontal="left" vertical="top"/>
    </xf>
    <xf borderId="0" fillId="8" fontId="2" numFmtId="0" xfId="0" applyAlignment="1" applyFont="1">
      <alignment horizontal="left" vertical="top"/>
    </xf>
    <xf borderId="7" fillId="8" fontId="2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7" fillId="11" fontId="2" numFmtId="0" xfId="0" applyAlignment="1" applyBorder="1" applyFont="1">
      <alignment horizontal="left" vertical="top"/>
    </xf>
    <xf borderId="0" fillId="8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8" fontId="2" numFmtId="0" xfId="0" applyAlignment="1" applyFont="1">
      <alignment horizontal="left" readingOrder="0" vertical="top"/>
    </xf>
    <xf borderId="0" fillId="12" fontId="2" numFmtId="0" xfId="0" applyAlignment="1" applyFill="1" applyFont="1">
      <alignment vertical="top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left" readingOrder="0"/>
    </xf>
    <xf borderId="0" fillId="5" fontId="1" numFmtId="0" xfId="0" applyAlignment="1" applyFont="1">
      <alignment horizontal="right" readingOrder="0"/>
    </xf>
    <xf borderId="1" fillId="0" fontId="1" numFmtId="9" xfId="0" applyBorder="1" applyFont="1" applyNumberFormat="1"/>
    <xf borderId="0" fillId="0" fontId="1" numFmtId="9" xfId="0" applyFont="1" applyNumberFormat="1"/>
    <xf borderId="1" fillId="7" fontId="5" numFmtId="9" xfId="0" applyBorder="1" applyFont="1" applyNumberForma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3" fontId="1" numFmtId="0" xfId="0" applyFont="1"/>
    <xf borderId="0" fillId="14" fontId="1" numFmtId="0" xfId="0" applyFill="1" applyFont="1"/>
    <xf borderId="0" fillId="14" fontId="1" numFmtId="0" xfId="0" applyAlignment="1" applyFont="1">
      <alignment readingOrder="0"/>
    </xf>
    <xf borderId="0" fillId="15" fontId="1" numFmtId="0" xfId="0" applyFill="1" applyFont="1"/>
    <xf borderId="0" fillId="15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16" fontId="1" numFmtId="0" xfId="0" applyFont="1"/>
    <xf borderId="0" fillId="16" fontId="1" numFmtId="0" xfId="0" applyFont="1"/>
    <xf borderId="0" fillId="7" fontId="6" numFmtId="0" xfId="0" applyAlignment="1" applyFont="1">
      <alignment readingOrder="0"/>
    </xf>
    <xf borderId="1" fillId="16" fontId="1" numFmtId="0" xfId="0" applyAlignment="1" applyBorder="1" applyFont="1">
      <alignment readingOrder="0"/>
    </xf>
    <xf borderId="1" fillId="16" fontId="1" numFmtId="0" xfId="0" applyBorder="1" applyFont="1"/>
    <xf borderId="1" fillId="6" fontId="7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1 (Influences)'!$F$14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(Influences)'!$A$15:$A$21</c:f>
            </c:strRef>
          </c:cat>
          <c:val>
            <c:numRef>
              <c:f>'Graphs 1 (Influences)'!$F$15:$F$21</c:f>
              <c:numCache/>
            </c:numRef>
          </c:val>
        </c:ser>
        <c:ser>
          <c:idx val="1"/>
          <c:order val="1"/>
          <c:tx>
            <c:strRef>
              <c:f>'Graphs 1 (Influences)'!$G$14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(Influences)'!$A$15:$A$21</c:f>
            </c:strRef>
          </c:cat>
          <c:val>
            <c:numRef>
              <c:f>'Graphs 1 (Influences)'!$G$15:$G$21</c:f>
              <c:numCache/>
            </c:numRef>
          </c:val>
        </c:ser>
        <c:ser>
          <c:idx val="2"/>
          <c:order val="2"/>
          <c:tx>
            <c:strRef>
              <c:f>'Graphs 1 (Influences)'!$H$14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(Influences)'!$A$15:$A$21</c:f>
            </c:strRef>
          </c:cat>
          <c:val>
            <c:numRef>
              <c:f>'Graphs 1 (Influences)'!$H$15:$H$21</c:f>
              <c:numCache/>
            </c:numRef>
          </c:val>
        </c:ser>
        <c:overlap val="100"/>
        <c:axId val="1941978424"/>
        <c:axId val="583588521"/>
      </c:barChart>
      <c:catAx>
        <c:axId val="194197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588521"/>
      </c:catAx>
      <c:valAx>
        <c:axId val="58358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97842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F1F1F"/>
                </a:solidFill>
                <a:latin typeface="+mn-lt"/>
              </a:defRPr>
            </a:pPr>
            <a:r>
              <a:rPr b="0">
                <a:solidFill>
                  <a:srgbClr val="1F1F1F"/>
                </a:solidFill>
                <a:latin typeface="+mn-lt"/>
              </a:rPr>
              <a:t>Influences on voter behaviours in Pakistan's Elections (2002 - 2024)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'Influence wise Analysis'!$B$1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Analysis'!$B$2:$B$8</c:f>
              <c:numCache/>
            </c:numRef>
          </c:val>
        </c:ser>
        <c:ser>
          <c:idx val="1"/>
          <c:order val="1"/>
          <c:tx>
            <c:strRef>
              <c:f>'Influence wise Analysis'!$C$1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Analysis'!$C$2:$C$8</c:f>
              <c:numCache/>
            </c:numRef>
          </c:val>
        </c:ser>
        <c:ser>
          <c:idx val="2"/>
          <c:order val="2"/>
          <c:tx>
            <c:strRef>
              <c:f>'Influence wise Analysis'!$D$1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Analysis'!$D$2:$D$8</c:f>
              <c:numCache/>
            </c:numRef>
          </c:val>
        </c:ser>
        <c:ser>
          <c:idx val="3"/>
          <c:order val="3"/>
          <c:tx>
            <c:strRef>
              <c:f>'Influence wise Analysis'!$E$1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Analysis'!$E$2:$E$8</c:f>
              <c:numCache/>
            </c:numRef>
          </c:val>
        </c:ser>
        <c:ser>
          <c:idx val="4"/>
          <c:order val="4"/>
          <c:tx>
            <c:strRef>
              <c:f>'Influence wise Analysis'!$F$1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Analysis'!$F$2:$F$8</c:f>
              <c:numCache/>
            </c:numRef>
          </c:val>
        </c:ser>
        <c:ser>
          <c:idx val="5"/>
          <c:order val="5"/>
          <c:tx>
            <c:strRef>
              <c:f>'Influence wise Analysis'!$G$1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Analysis'!$A$2:$A$8</c:f>
            </c:strRef>
          </c:cat>
          <c:val>
            <c:numRef>
              <c:f>'Influence wise Analysis'!$G$2:$G$8</c:f>
              <c:numCache/>
            </c:numRef>
          </c:val>
        </c:ser>
        <c:axId val="1544804527"/>
        <c:axId val="2127995105"/>
      </c:barChart>
      <c:catAx>
        <c:axId val="154480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995105"/>
      </c:catAx>
      <c:valAx>
        <c:axId val="2127995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80452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Elections and Influence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'Influence wise Analysis'!$B$33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Analysis'!$B$34:$B$40</c:f>
              <c:numCache/>
            </c:numRef>
          </c:val>
        </c:ser>
        <c:ser>
          <c:idx val="1"/>
          <c:order val="1"/>
          <c:tx>
            <c:strRef>
              <c:f>'Influence wise Analysis'!$C$33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Analysis'!$C$34:$C$40</c:f>
              <c:numCache/>
            </c:numRef>
          </c:val>
        </c:ser>
        <c:ser>
          <c:idx val="2"/>
          <c:order val="2"/>
          <c:tx>
            <c:strRef>
              <c:f>'Influence wise Analysis'!$D$33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Analysis'!$D$34:$D$40</c:f>
              <c:numCache/>
            </c:numRef>
          </c:val>
        </c:ser>
        <c:ser>
          <c:idx val="3"/>
          <c:order val="3"/>
          <c:tx>
            <c:strRef>
              <c:f>'Influence wise Analysis'!$E$33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Analysis'!$E$34:$E$40</c:f>
              <c:numCache/>
            </c:numRef>
          </c:val>
        </c:ser>
        <c:ser>
          <c:idx val="4"/>
          <c:order val="4"/>
          <c:tx>
            <c:strRef>
              <c:f>'Influence wise Analysis'!$F$33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Analysis'!$F$34:$F$40</c:f>
              <c:numCache/>
            </c:numRef>
          </c:val>
        </c:ser>
        <c:ser>
          <c:idx val="5"/>
          <c:order val="5"/>
          <c:tx>
            <c:strRef>
              <c:f>'Influence wise Analysis'!$G$33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Analysis'!$A$34:$A$40</c:f>
            </c:strRef>
          </c:cat>
          <c:val>
            <c:numRef>
              <c:f>'Influence wise Analysis'!$G$34:$G$40</c:f>
              <c:numCache/>
            </c:numRef>
          </c:val>
        </c:ser>
        <c:axId val="1338475292"/>
        <c:axId val="1116217528"/>
      </c:barChart>
      <c:catAx>
        <c:axId val="133847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217528"/>
      </c:catAx>
      <c:valAx>
        <c:axId val="1116217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752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'Influence wise Analysis'!$A$68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Analysis'!$B$67:$G$67</c:f>
            </c:strRef>
          </c:cat>
          <c:val>
            <c:numRef>
              <c:f>'Influence wise Analysis'!$B$68:$G$68</c:f>
              <c:numCache/>
            </c:numRef>
          </c:val>
        </c:ser>
        <c:axId val="1013728360"/>
        <c:axId val="1209699768"/>
      </c:barChart>
      <c:catAx>
        <c:axId val="101372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699768"/>
      </c:catAx>
      <c:valAx>
        <c:axId val="120969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728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'Influence wise Analysis'!$A$72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Analysis'!$B$71:$G$71</c:f>
            </c:strRef>
          </c:cat>
          <c:val>
            <c:numRef>
              <c:f>'Influence wise Analysis'!$B$72:$G$72</c:f>
              <c:numCache/>
            </c:numRef>
          </c:val>
        </c:ser>
        <c:axId val="703867116"/>
        <c:axId val="998597025"/>
      </c:barChart>
      <c:catAx>
        <c:axId val="70386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597025"/>
      </c:catAx>
      <c:valAx>
        <c:axId val="998597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867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'Influence wise Analysis'!$A$75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Analysis'!$B$74:$G$74</c:f>
            </c:strRef>
          </c:cat>
          <c:val>
            <c:numRef>
              <c:f>'Influence wise Analysis'!$B$75:$G$75</c:f>
              <c:numCache/>
            </c:numRef>
          </c:val>
        </c:ser>
        <c:ser>
          <c:idx val="1"/>
          <c:order val="1"/>
          <c:tx>
            <c:strRef>
              <c:f>'Influence wise Analysis'!$A$76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Analysis'!$B$74:$G$74</c:f>
            </c:strRef>
          </c:cat>
          <c:val>
            <c:numRef>
              <c:f>'Influence wise Analysis'!$B$76:$G$76</c:f>
              <c:numCache/>
            </c:numRef>
          </c:val>
        </c:ser>
        <c:axId val="946192150"/>
        <c:axId val="1368183487"/>
      </c:barChart>
      <c:catAx>
        <c:axId val="94619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183487"/>
      </c:catAx>
      <c:valAx>
        <c:axId val="1368183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1921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'Influence wise Analysis'!$A$79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Analysis'!$B$78:$G$78</c:f>
            </c:strRef>
          </c:cat>
          <c:val>
            <c:numRef>
              <c:f>'Influence wise Analysis'!$B$79:$G$79</c:f>
              <c:numCache/>
            </c:numRef>
          </c:val>
        </c:ser>
        <c:ser>
          <c:idx val="1"/>
          <c:order val="1"/>
          <c:tx>
            <c:strRef>
              <c:f>'Influence wise Analysis'!$A$80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Analysis'!$B$78:$G$78</c:f>
            </c:strRef>
          </c:cat>
          <c:val>
            <c:numRef>
              <c:f>'Influence wise Analysis'!$B$80:$G$80</c:f>
              <c:numCache/>
            </c:numRef>
          </c:val>
        </c:ser>
        <c:ser>
          <c:idx val="2"/>
          <c:order val="2"/>
          <c:tx>
            <c:strRef>
              <c:f>'Influence wise Analysis'!$A$81</c:f>
            </c:strRef>
          </c:tx>
          <c:cat>
            <c:strRef>
              <c:f>'Influence wise Analysis'!$B$78:$G$78</c:f>
            </c:strRef>
          </c:cat>
          <c:val>
            <c:numRef>
              <c:f>'Influence wise Analysis'!$B$81:$G$81</c:f>
              <c:numCache/>
            </c:numRef>
          </c:val>
        </c:ser>
        <c:axId val="516597046"/>
        <c:axId val="365688280"/>
      </c:barChart>
      <c:catAx>
        <c:axId val="516597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88280"/>
      </c:catAx>
      <c:valAx>
        <c:axId val="36568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5970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'Influence wise Analysis'!$A$125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'Influence wise Analysis'!$B$124:$G$124</c:f>
            </c:strRef>
          </c:cat>
          <c:val>
            <c:numRef>
              <c:f>'Influence wise Analysis'!$B$125:$G$125</c:f>
              <c:numCache/>
            </c:numRef>
          </c:val>
        </c:ser>
        <c:axId val="775496692"/>
        <c:axId val="2140599575"/>
      </c:barChart>
      <c:catAx>
        <c:axId val="77549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599575"/>
      </c:catAx>
      <c:valAx>
        <c:axId val="2140599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49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1 (Influences)'!$O$14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(Influences)'!$N$15:$N$21</c:f>
            </c:strRef>
          </c:cat>
          <c:val>
            <c:numRef>
              <c:f>'Graphs 1 (Influences)'!$O$15:$O$21</c:f>
              <c:numCache/>
            </c:numRef>
          </c:val>
        </c:ser>
        <c:ser>
          <c:idx val="1"/>
          <c:order val="1"/>
          <c:tx>
            <c:strRef>
              <c:f>'Graphs 1 (Influences)'!$P$14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(Influences)'!$N$15:$N$21</c:f>
            </c:strRef>
          </c:cat>
          <c:val>
            <c:numRef>
              <c:f>'Graphs 1 (Influences)'!$P$15:$P$21</c:f>
              <c:numCache/>
            </c:numRef>
          </c:val>
        </c:ser>
        <c:ser>
          <c:idx val="2"/>
          <c:order val="2"/>
          <c:tx>
            <c:strRef>
              <c:f>'Graphs 1 (Influences)'!$Q$14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(Influences)'!$N$15:$N$21</c:f>
            </c:strRef>
          </c:cat>
          <c:val>
            <c:numRef>
              <c:f>'Graphs 1 (Influences)'!$Q$15:$Q$21</c:f>
              <c:numCache/>
            </c:numRef>
          </c:val>
        </c:ser>
        <c:overlap val="100"/>
        <c:axId val="220992755"/>
        <c:axId val="2079154471"/>
      </c:barChart>
      <c:catAx>
        <c:axId val="220992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79154471"/>
      </c:catAx>
      <c:valAx>
        <c:axId val="207915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2099275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1 (Influences)'!$X$14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(Influences)'!$W$15:$W$21</c:f>
            </c:strRef>
          </c:cat>
          <c:val>
            <c:numRef>
              <c:f>'Graphs 1 (Influences)'!$X$15:$X$21</c:f>
              <c:numCache/>
            </c:numRef>
          </c:val>
        </c:ser>
        <c:ser>
          <c:idx val="1"/>
          <c:order val="1"/>
          <c:tx>
            <c:strRef>
              <c:f>'Graphs 1 (Influences)'!$Y$14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(Influences)'!$W$15:$W$21</c:f>
            </c:strRef>
          </c:cat>
          <c:val>
            <c:numRef>
              <c:f>'Graphs 1 (Influences)'!$Y$15:$Y$21</c:f>
              <c:numCache/>
            </c:numRef>
          </c:val>
        </c:ser>
        <c:ser>
          <c:idx val="2"/>
          <c:order val="2"/>
          <c:tx>
            <c:strRef>
              <c:f>'Graphs 1 (Influences)'!$Z$14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(Influences)'!$W$15:$W$21</c:f>
            </c:strRef>
          </c:cat>
          <c:val>
            <c:numRef>
              <c:f>'Graphs 1 (Influences)'!$Z$15:$Z$21</c:f>
              <c:numCache/>
            </c:numRef>
          </c:val>
        </c:ser>
        <c:overlap val="100"/>
        <c:axId val="1072315487"/>
        <c:axId val="1032372076"/>
      </c:barChart>
      <c:catAx>
        <c:axId val="107231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372076"/>
      </c:catAx>
      <c:valAx>
        <c:axId val="1032372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3154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1 (Influences)'!$AE$14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(Influences)'!$AD$15:$AD$21</c:f>
            </c:strRef>
          </c:cat>
          <c:val>
            <c:numRef>
              <c:f>'Graphs 1 (Influences)'!$AE$15:$AE$21</c:f>
              <c:numCache/>
            </c:numRef>
          </c:val>
        </c:ser>
        <c:ser>
          <c:idx val="1"/>
          <c:order val="1"/>
          <c:tx>
            <c:strRef>
              <c:f>'Graphs 1 (Influences)'!$AF$14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1 (Influences)'!$AD$15:$AD$21</c:f>
            </c:strRef>
          </c:cat>
          <c:val>
            <c:numRef>
              <c:f>'Graphs 1 (Influences)'!$AF$15:$AF$21</c:f>
              <c:numCache/>
            </c:numRef>
          </c:val>
        </c:ser>
        <c:overlap val="100"/>
        <c:axId val="25207376"/>
        <c:axId val="470615273"/>
      </c:barChart>
      <c:catAx>
        <c:axId val="252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615273"/>
      </c:catAx>
      <c:valAx>
        <c:axId val="470615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073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2 (Influences)'!$F$14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(Influences)'!$E$15:$E$21</c:f>
            </c:strRef>
          </c:cat>
          <c:val>
            <c:numRef>
              <c:f>'Graphs 2 (Influences)'!$F$15:$F$21</c:f>
              <c:numCache/>
            </c:numRef>
          </c:val>
        </c:ser>
        <c:ser>
          <c:idx val="1"/>
          <c:order val="1"/>
          <c:tx>
            <c:strRef>
              <c:f>'Graphs 2 (Influences)'!$G$14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(Influences)'!$E$15:$E$21</c:f>
            </c:strRef>
          </c:cat>
          <c:val>
            <c:numRef>
              <c:f>'Graphs 2 (Influences)'!$G$15:$G$21</c:f>
              <c:numCache/>
            </c:numRef>
          </c:val>
        </c:ser>
        <c:ser>
          <c:idx val="2"/>
          <c:order val="2"/>
          <c:tx>
            <c:strRef>
              <c:f>'Graphs 2 (Influences)'!$H$14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(Influences)'!$E$15:$E$21</c:f>
            </c:strRef>
          </c:cat>
          <c:val>
            <c:numRef>
              <c:f>'Graphs 2 (Influences)'!$H$15:$H$21</c:f>
              <c:numCache/>
            </c:numRef>
          </c:val>
        </c:ser>
        <c:overlap val="100"/>
        <c:axId val="1491926162"/>
        <c:axId val="2108686134"/>
      </c:barChart>
      <c:catAx>
        <c:axId val="1491926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686134"/>
      </c:catAx>
      <c:valAx>
        <c:axId val="2108686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92616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2 (Influences)'!$O$14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(Influences)'!$N$15:$N$21</c:f>
            </c:strRef>
          </c:cat>
          <c:val>
            <c:numRef>
              <c:f>'Graphs 2 (Influences)'!$O$15:$O$21</c:f>
              <c:numCache/>
            </c:numRef>
          </c:val>
        </c:ser>
        <c:ser>
          <c:idx val="1"/>
          <c:order val="1"/>
          <c:tx>
            <c:strRef>
              <c:f>'Graphs 2 (Influences)'!$P$14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(Influences)'!$N$15:$N$21</c:f>
            </c:strRef>
          </c:cat>
          <c:val>
            <c:numRef>
              <c:f>'Graphs 2 (Influences)'!$P$15:$P$21</c:f>
              <c:numCache/>
            </c:numRef>
          </c:val>
        </c:ser>
        <c:ser>
          <c:idx val="2"/>
          <c:order val="2"/>
          <c:tx>
            <c:strRef>
              <c:f>'Graphs 2 (Influences)'!$Q$14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(Influences)'!$N$15:$N$21</c:f>
            </c:strRef>
          </c:cat>
          <c:val>
            <c:numRef>
              <c:f>'Graphs 2 (Influences)'!$Q$15:$Q$21</c:f>
              <c:numCache/>
            </c:numRef>
          </c:val>
        </c:ser>
        <c:overlap val="100"/>
        <c:axId val="982763379"/>
        <c:axId val="1358473202"/>
      </c:barChart>
      <c:catAx>
        <c:axId val="98276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473202"/>
      </c:catAx>
      <c:valAx>
        <c:axId val="135847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7633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2 (Influences)'!$X$14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(Influences)'!$W$15:$W$21</c:f>
            </c:strRef>
          </c:cat>
          <c:val>
            <c:numRef>
              <c:f>'Graphs 2 (Influences)'!$X$15:$X$21</c:f>
              <c:numCache/>
            </c:numRef>
          </c:val>
        </c:ser>
        <c:ser>
          <c:idx val="1"/>
          <c:order val="1"/>
          <c:tx>
            <c:strRef>
              <c:f>'Graphs 2 (Influences)'!$Y$14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(Influences)'!$W$15:$W$21</c:f>
            </c:strRef>
          </c:cat>
          <c:val>
            <c:numRef>
              <c:f>'Graphs 2 (Influences)'!$Y$15:$Y$21</c:f>
              <c:numCache/>
            </c:numRef>
          </c:val>
        </c:ser>
        <c:ser>
          <c:idx val="2"/>
          <c:order val="2"/>
          <c:tx>
            <c:strRef>
              <c:f>'Graphs 2 (Influences)'!$Z$14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2 (Influences)'!$W$15:$W$21</c:f>
            </c:strRef>
          </c:cat>
          <c:val>
            <c:numRef>
              <c:f>'Graphs 2 (Influences)'!$Z$15:$Z$21</c:f>
              <c:numCache/>
            </c:numRef>
          </c:val>
        </c:ser>
        <c:overlap val="100"/>
        <c:axId val="677140585"/>
        <c:axId val="1047681197"/>
      </c:barChart>
      <c:catAx>
        <c:axId val="677140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81197"/>
      </c:catAx>
      <c:valAx>
        <c:axId val="1047681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1405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'Graphs 3 (Influences)'!$F$14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(Influences)'!$E$15:$E$21</c:f>
            </c:strRef>
          </c:cat>
          <c:val>
            <c:numRef>
              <c:f>'Graphs 3 (Influences)'!$F$15:$F$21</c:f>
              <c:numCache/>
            </c:numRef>
          </c:val>
        </c:ser>
        <c:ser>
          <c:idx val="1"/>
          <c:order val="1"/>
          <c:tx>
            <c:strRef>
              <c:f>'Graphs 3 (Influences)'!$G$14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(Influences)'!$E$15:$E$21</c:f>
            </c:strRef>
          </c:cat>
          <c:val>
            <c:numRef>
              <c:f>'Graphs 3 (Influences)'!$G$15:$G$21</c:f>
              <c:numCache/>
            </c:numRef>
          </c:val>
        </c:ser>
        <c:ser>
          <c:idx val="2"/>
          <c:order val="2"/>
          <c:tx>
            <c:strRef>
              <c:f>'Graphs 3 (Influences)'!$H$14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(Influences)'!$E$15:$E$21</c:f>
            </c:strRef>
          </c:cat>
          <c:val>
            <c:numRef>
              <c:f>'Graphs 3 (Influences)'!$H$15:$H$21</c:f>
              <c:numCache/>
            </c:numRef>
          </c:val>
        </c:ser>
        <c:overlap val="100"/>
        <c:axId val="599642050"/>
        <c:axId val="1741384002"/>
      </c:barChart>
      <c:catAx>
        <c:axId val="599642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384002"/>
      </c:catAx>
      <c:valAx>
        <c:axId val="1741384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6420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'Graphs 3 (Influences)'!$O$14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(Influences)'!$N$15:$N$21</c:f>
            </c:strRef>
          </c:cat>
          <c:val>
            <c:numRef>
              <c:f>'Graphs 3 (Influences)'!$O$15:$O$21</c:f>
              <c:numCache/>
            </c:numRef>
          </c:val>
          <c:smooth val="0"/>
        </c:ser>
        <c:ser>
          <c:idx val="1"/>
          <c:order val="1"/>
          <c:tx>
            <c:strRef>
              <c:f>'Graphs 3 (Influences)'!$P$14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(Influences)'!$N$15:$N$21</c:f>
            </c:strRef>
          </c:cat>
          <c:val>
            <c:numRef>
              <c:f>'Graphs 3 (Influences)'!$P$15:$P$21</c:f>
              <c:numCache/>
            </c:numRef>
          </c:val>
          <c:smooth val="0"/>
        </c:ser>
        <c:ser>
          <c:idx val="2"/>
          <c:order val="2"/>
          <c:tx>
            <c:strRef>
              <c:f>'Graphs 3 (Influences)'!$Q$14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(Influences)'!$N$15:$N$21</c:f>
            </c:strRef>
          </c:cat>
          <c:val>
            <c:numRef>
              <c:f>'Graphs 3 (Influences)'!$Q$15:$Q$21</c:f>
              <c:numCache/>
            </c:numRef>
          </c:val>
          <c:smooth val="0"/>
        </c:ser>
        <c:ser>
          <c:idx val="3"/>
          <c:order val="3"/>
          <c:tx>
            <c:strRef>
              <c:f>'Graphs 3 (Influences)'!$R$14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(Influences)'!$N$15:$N$21</c:f>
            </c:strRef>
          </c:cat>
          <c:val>
            <c:numRef>
              <c:f>'Graphs 3 (Influences)'!$R$15:$R$21</c:f>
              <c:numCache/>
            </c:numRef>
          </c:val>
          <c:smooth val="0"/>
        </c:ser>
        <c:ser>
          <c:idx val="4"/>
          <c:order val="4"/>
          <c:tx>
            <c:strRef>
              <c:f>'Graphs 3 (Influences)'!$S$14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'Graphs 3 (Influences)'!$N$15:$N$21</c:f>
            </c:strRef>
          </c:cat>
          <c:val>
            <c:numRef>
              <c:f>'Graphs 3 (Influences)'!$S$15:$S$21</c:f>
              <c:numCache/>
            </c:numRef>
          </c:val>
          <c:smooth val="0"/>
        </c:ser>
        <c:axId val="1359308398"/>
        <c:axId val="262538075"/>
      </c:lineChart>
      <c:catAx>
        <c:axId val="1359308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38075"/>
      </c:catAx>
      <c:valAx>
        <c:axId val="26253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3083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22</xdr:row>
      <xdr:rowOff>171450</xdr:rowOff>
    </xdr:from>
    <xdr:ext cx="4972050" cy="3533775"/>
    <xdr:graphicFrame>
      <xdr:nvGraphicFramePr>
        <xdr:cNvPr id="11265206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142875</xdr:colOff>
      <xdr:row>22</xdr:row>
      <xdr:rowOff>171450</xdr:rowOff>
    </xdr:from>
    <xdr:ext cx="4743450" cy="3533775"/>
    <xdr:graphicFrame>
      <xdr:nvGraphicFramePr>
        <xdr:cNvPr id="15342328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476250</xdr:colOff>
      <xdr:row>22</xdr:row>
      <xdr:rowOff>171450</xdr:rowOff>
    </xdr:from>
    <xdr:ext cx="4743450" cy="3533775"/>
    <xdr:graphicFrame>
      <xdr:nvGraphicFramePr>
        <xdr:cNvPr id="2953859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400050</xdr:colOff>
      <xdr:row>22</xdr:row>
      <xdr:rowOff>171450</xdr:rowOff>
    </xdr:from>
    <xdr:ext cx="4629150" cy="3533775"/>
    <xdr:graphicFrame>
      <xdr:nvGraphicFramePr>
        <xdr:cNvPr id="125258309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22</xdr:row>
      <xdr:rowOff>171450</xdr:rowOff>
    </xdr:from>
    <xdr:ext cx="5391150" cy="3533775"/>
    <xdr:graphicFrame>
      <xdr:nvGraphicFramePr>
        <xdr:cNvPr id="62839270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828675</xdr:colOff>
      <xdr:row>22</xdr:row>
      <xdr:rowOff>171450</xdr:rowOff>
    </xdr:from>
    <xdr:ext cx="4829175" cy="3533775"/>
    <xdr:graphicFrame>
      <xdr:nvGraphicFramePr>
        <xdr:cNvPr id="27722165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476250</xdr:colOff>
      <xdr:row>22</xdr:row>
      <xdr:rowOff>171450</xdr:rowOff>
    </xdr:from>
    <xdr:ext cx="5715000" cy="3533775"/>
    <xdr:graphicFrame>
      <xdr:nvGraphicFramePr>
        <xdr:cNvPr id="15510544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22</xdr:row>
      <xdr:rowOff>171450</xdr:rowOff>
    </xdr:from>
    <xdr:ext cx="5876925" cy="3790950"/>
    <xdr:graphicFrame>
      <xdr:nvGraphicFramePr>
        <xdr:cNvPr id="39231509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371475</xdr:colOff>
      <xdr:row>22</xdr:row>
      <xdr:rowOff>19050</xdr:rowOff>
    </xdr:from>
    <xdr:ext cx="6743700" cy="3838575"/>
    <xdr:graphicFrame>
      <xdr:nvGraphicFramePr>
        <xdr:cNvPr id="113897699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8</xdr:row>
      <xdr:rowOff>57150</xdr:rowOff>
    </xdr:from>
    <xdr:ext cx="10153650" cy="4429125"/>
    <xdr:graphicFrame>
      <xdr:nvGraphicFramePr>
        <xdr:cNvPr id="161697595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28575</xdr:rowOff>
    </xdr:from>
    <xdr:ext cx="10477500" cy="4238625"/>
    <xdr:graphicFrame>
      <xdr:nvGraphicFramePr>
        <xdr:cNvPr id="106810649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866775</xdr:colOff>
      <xdr:row>66</xdr:row>
      <xdr:rowOff>0</xdr:rowOff>
    </xdr:from>
    <xdr:ext cx="5810250" cy="3390900"/>
    <xdr:graphicFrame>
      <xdr:nvGraphicFramePr>
        <xdr:cNvPr id="1460198045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904875</xdr:colOff>
      <xdr:row>85</xdr:row>
      <xdr:rowOff>104775</xdr:rowOff>
    </xdr:from>
    <xdr:ext cx="5762625" cy="3533775"/>
    <xdr:graphicFrame>
      <xdr:nvGraphicFramePr>
        <xdr:cNvPr id="977944817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590550</xdr:colOff>
      <xdr:row>81</xdr:row>
      <xdr:rowOff>66675</xdr:rowOff>
    </xdr:from>
    <xdr:ext cx="6429375" cy="3895725"/>
    <xdr:graphicFrame>
      <xdr:nvGraphicFramePr>
        <xdr:cNvPr id="167878077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590550</xdr:colOff>
      <xdr:row>104</xdr:row>
      <xdr:rowOff>19050</xdr:rowOff>
    </xdr:from>
    <xdr:ext cx="6429375" cy="3533775"/>
    <xdr:graphicFrame>
      <xdr:nvGraphicFramePr>
        <xdr:cNvPr id="164589217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952500</xdr:colOff>
      <xdr:row>105</xdr:row>
      <xdr:rowOff>57150</xdr:rowOff>
    </xdr:from>
    <xdr:ext cx="5715000" cy="3533775"/>
    <xdr:graphicFrame>
      <xdr:nvGraphicFramePr>
        <xdr:cNvPr id="459510157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6.14"/>
    <col hidden="1" min="2" max="2" width="14.43"/>
    <col customWidth="1" min="3" max="3" width="4.71"/>
    <col customWidth="1" min="4" max="4" width="5.29"/>
    <col customWidth="1" min="5" max="5" width="10.0"/>
    <col customWidth="1" min="6" max="6" width="9.43"/>
    <col customWidth="1" min="7" max="8" width="9.71"/>
    <col customWidth="1" min="9" max="10" width="7.71"/>
    <col customWidth="1" min="11" max="11" width="9.57"/>
    <col customWidth="1" min="12" max="12" width="9.0"/>
    <col customWidth="1" min="14" max="14" width="9.71"/>
    <col customWidth="1" min="15" max="15" width="5.71"/>
    <col customWidth="1" min="16" max="16" width="6.29"/>
    <col customWidth="1" min="17" max="17" width="8.43"/>
    <col customWidth="1" min="18" max="18" width="6.29"/>
    <col customWidth="1" min="19" max="19" width="5.57"/>
    <col customWidth="1" min="20" max="20" width="9.86"/>
    <col customWidth="1" min="21" max="21" width="6.71"/>
    <col customWidth="1" min="22" max="22" width="8.57"/>
    <col customWidth="1" min="23" max="23" width="9.71"/>
    <col customWidth="1" min="24" max="24" width="7.29"/>
    <col customWidth="1" min="25" max="25" width="11.29"/>
    <col customWidth="1" min="26" max="26" width="9.86"/>
    <col customWidth="1" min="27" max="27" width="11.29"/>
    <col customWidth="1" min="28" max="28" width="9.14"/>
    <col customWidth="1" min="29" max="29" width="9.86"/>
    <col customWidth="1" min="30" max="30" width="8.57"/>
    <col customWidth="1" min="31" max="31" width="9.0"/>
  </cols>
  <sheetData>
    <row r="1">
      <c r="B1" s="1"/>
      <c r="D1" s="1"/>
      <c r="E1" s="2"/>
      <c r="F1" s="3"/>
      <c r="G1" s="2" t="s">
        <v>0</v>
      </c>
      <c r="H1" s="4"/>
      <c r="I1" s="4"/>
      <c r="J1" s="4"/>
      <c r="K1" s="4"/>
      <c r="L1" s="4"/>
      <c r="N1" s="5"/>
      <c r="O1" s="6"/>
      <c r="P1" s="6" t="s">
        <v>1</v>
      </c>
      <c r="Q1" s="5"/>
      <c r="R1" s="5"/>
      <c r="S1" s="5"/>
      <c r="T1" s="5"/>
      <c r="U1" s="5"/>
      <c r="W1" s="7"/>
      <c r="X1" s="8" t="s">
        <v>2</v>
      </c>
      <c r="Y1" s="7"/>
      <c r="Z1" s="7"/>
      <c r="AA1" s="7"/>
      <c r="AB1" s="7"/>
      <c r="AC1" s="7"/>
      <c r="AD1" s="7"/>
      <c r="AF1" s="9" t="s">
        <v>3</v>
      </c>
      <c r="AG1" s="10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1" t="s">
        <v>10</v>
      </c>
      <c r="H2" s="11" t="s">
        <v>11</v>
      </c>
      <c r="I2" s="11" t="s">
        <v>12</v>
      </c>
      <c r="J2" s="1" t="s">
        <v>13</v>
      </c>
      <c r="K2" s="1" t="s">
        <v>14</v>
      </c>
      <c r="L2" s="1" t="s">
        <v>15</v>
      </c>
      <c r="N2" s="1" t="s">
        <v>8</v>
      </c>
      <c r="O2" s="12" t="s">
        <v>9</v>
      </c>
      <c r="P2" s="11" t="s">
        <v>10</v>
      </c>
      <c r="Q2" s="11" t="s">
        <v>11</v>
      </c>
      <c r="R2" s="11" t="s">
        <v>12</v>
      </c>
      <c r="S2" s="1" t="s">
        <v>13</v>
      </c>
      <c r="T2" s="1" t="s">
        <v>14</v>
      </c>
      <c r="U2" s="1" t="s">
        <v>15</v>
      </c>
      <c r="W2" s="1" t="s">
        <v>8</v>
      </c>
      <c r="X2" s="12" t="s">
        <v>9</v>
      </c>
      <c r="Y2" s="11" t="s">
        <v>10</v>
      </c>
      <c r="Z2" s="13" t="s">
        <v>11</v>
      </c>
      <c r="AA2" s="11" t="s">
        <v>12</v>
      </c>
      <c r="AB2" s="1" t="s">
        <v>13</v>
      </c>
      <c r="AC2" s="1" t="s">
        <v>14</v>
      </c>
      <c r="AD2" s="1" t="s">
        <v>15</v>
      </c>
      <c r="AF2" s="11" t="s">
        <v>16</v>
      </c>
      <c r="AG2" s="11" t="s">
        <v>17</v>
      </c>
    </row>
    <row r="3">
      <c r="A3" s="1">
        <v>2002.0</v>
      </c>
      <c r="B3" s="14">
        <f>countifs(Data!$D$2:$D$87,"2002")</f>
        <v>12</v>
      </c>
      <c r="C3" s="14">
        <f>countifs(Data!$D$2:$D$87,"2008",Data!$A$2:$A$87,"NA")</f>
        <v>12</v>
      </c>
      <c r="D3" s="14">
        <f>countifs(Data!$D$2:$D$87,"2002",Data!$A$2:$A$87,"KP")</f>
        <v>0</v>
      </c>
      <c r="E3" s="14">
        <f>countifs(Data!$D$2:$D$87,"2002",Data!$A$2:$A$87,"NA",Data!$G$2:$G$87,"Very High")</f>
        <v>0</v>
      </c>
      <c r="F3" s="14">
        <f>countifs(Data!$D2:$D87,"2002",Data!$A2:$A87,"NA",Data!$G2:$G87,"High")</f>
        <v>5</v>
      </c>
      <c r="G3" s="15">
        <f t="shared" ref="G3:G7" si="1">SUM(E3:F3)</f>
        <v>5</v>
      </c>
      <c r="H3" s="15">
        <f>countifs(Data!$D2:$D87,"2002",Data!$A2:$A87,"NA",Data!$G2:$G87,"Medium")</f>
        <v>1</v>
      </c>
      <c r="I3" s="15">
        <f t="shared" ref="I3:I7" si="2">SUM(J3:K3)</f>
        <v>6</v>
      </c>
      <c r="J3" s="14">
        <f>countifs(Data!$D2:$D87,"2002",Data!$A2:$A87,"NA",Data!$G2:$G87,"Low")</f>
        <v>4</v>
      </c>
      <c r="K3" s="14">
        <f>countifs(Data!$D2:$D87,"2002",Data!$A2:$A87,"NA",Data!$G2:$G87,"Very Low")</f>
        <v>2</v>
      </c>
      <c r="L3" s="14">
        <f>countifs(Data!$D2:$D87,"2002",Data!$A2:$A87,"NA",Data!$G2:$G87,"None")</f>
        <v>0</v>
      </c>
      <c r="N3" s="14">
        <f>countifs(Data!$D$2:$D$87,"2002",Data!$A$2:$A$87,"NA",Data!$O$2:$O$87,"Very High")</f>
        <v>1</v>
      </c>
      <c r="O3" s="14">
        <f>countifs(Data!$D$2:$D$87,"2002",Data!$A$2:$A$87,"NA",Data!$O$2:$O$87,"High")</f>
        <v>1</v>
      </c>
      <c r="P3" s="16">
        <f t="shared" ref="P3:P7" si="3">sum(N3:O3)</f>
        <v>2</v>
      </c>
      <c r="Q3" s="16">
        <f>countifs(Data!$D$2:$D$87,"2002",Data!$A$2:$A$87,"NA",Data!$O$2:$O$87,"Medium")</f>
        <v>3</v>
      </c>
      <c r="R3" s="16">
        <f t="shared" ref="R3:R7" si="4">SUM(S3:U3)</f>
        <v>7</v>
      </c>
      <c r="S3" s="14">
        <f>countifs(Data!$D$2:$D$87,"2002",Data!$A$2:$A$87,"NA",Data!$O$2:$O$87,"Low")</f>
        <v>3</v>
      </c>
      <c r="T3" s="14">
        <f>countifs(Data!$D$2:$D$87,"2002",Data!$A$2:$A$87,"NA",Data!$O$2:$O$87,"Very Low")</f>
        <v>0</v>
      </c>
      <c r="U3" s="14">
        <f>countifs(Data!$D$2:$D$87,"2002",Data!$A$2:$A$87,"NA",Data!$O$2:$O$87,"None")</f>
        <v>4</v>
      </c>
      <c r="W3" s="14">
        <f>countifs(Data!$D$2:$D$87,"2002",Data!$A$2:$A$87,"NA",Data!$I$2:$I$87,"Very High")</f>
        <v>0</v>
      </c>
      <c r="X3" s="14">
        <f>countifs(Data!$D$2:$D$87,"2002",Data!$A$2:$A$87,"NA",Data!$I$2:$I$87,"High")</f>
        <v>2</v>
      </c>
      <c r="Y3" s="16">
        <f t="shared" ref="Y3:Y7" si="5">sum(W3:X3)</f>
        <v>2</v>
      </c>
      <c r="Z3" s="16">
        <f>countifs(Data!$D$2:$D$87,"2002",Data!$A$2:$A$87,"NA",Data!$I$2:$I$87,"Medium")</f>
        <v>0</v>
      </c>
      <c r="AA3" s="16">
        <f t="shared" ref="AA3:AA7" si="6">sum(AB3:AD3)</f>
        <v>10</v>
      </c>
      <c r="AB3" s="14">
        <f>countifs(Data!$D$2:$D$87,"2002",Data!$A$2:$A$87,"NA",Data!$I$2:$I$87,"Low")</f>
        <v>10</v>
      </c>
      <c r="AC3" s="14">
        <f>countifs(Data!$D$2:$D$87,"2002",Data!$A$2:$A$87,"NA",Data!$I$2:$I$87,"Very Low")</f>
        <v>0</v>
      </c>
      <c r="AD3" s="14">
        <f>countifs(Data!$D$2:$D$87,"2002",Data!$A$2:$A$87,"NA",Data!$I$2:$I$87,"None")</f>
        <v>0</v>
      </c>
      <c r="AF3" s="17">
        <f>countifs(Data!$D$2:$D$87,"2002",Data!$A$2:$A$87,"NA",Data!$H$2:$H$87,"Yes")</f>
        <v>5</v>
      </c>
      <c r="AG3" s="17">
        <f>countifs(Data!$D$2:$D$87,"2002",Data!$A$2:$A$87,"NA",Data!$H$2:$H$87,"No")</f>
        <v>7</v>
      </c>
    </row>
    <row r="4">
      <c r="A4" s="1">
        <v>2008.0</v>
      </c>
      <c r="B4" s="14">
        <f>countifs(Data!$D$2:$D$87,"2008")</f>
        <v>12</v>
      </c>
      <c r="C4" s="14">
        <f>countifs(Data!$D3:$D88,"2013",Data!$A3:$A88,"NA")</f>
        <v>12</v>
      </c>
      <c r="D4" s="14">
        <f>countifs(Data!$D$2:$D$87,"2008",Data!$A$2:$A$87,"KP")</f>
        <v>0</v>
      </c>
      <c r="E4" s="14">
        <f>countifs(Data!$D$2:$D$87,"2008",Data!$A$2:$A$87,"NA",Data!$G$2:$G$87,"Very High")</f>
        <v>3</v>
      </c>
      <c r="F4" s="14">
        <f>countifs(Data!$D$2:$D$87,"2008",Data!$A$2:$A$87,"NA",Data!$G$2:$G$87,"High")</f>
        <v>6</v>
      </c>
      <c r="G4" s="15">
        <f t="shared" si="1"/>
        <v>9</v>
      </c>
      <c r="H4" s="15">
        <f>countifs(Data!$D$2:$D$87,"2008",Data!$A$2:$A$87,"NA",Data!$G$2:$G$87,"Medium")</f>
        <v>1</v>
      </c>
      <c r="I4" s="15">
        <f t="shared" si="2"/>
        <v>1</v>
      </c>
      <c r="J4" s="14">
        <f>countifs(Data!$D$2:$D$87,"2008",Data!$A$2:$A$87,"NA",Data!$G$2:$G$87,"Low")</f>
        <v>1</v>
      </c>
      <c r="K4" s="14">
        <f>countifs(Data!$D$2:$D$87,"2008",Data!$A$2:$A$87,"NA",Data!$G$2:$G$87,"Very Low")</f>
        <v>0</v>
      </c>
      <c r="L4" s="14">
        <f>countifs(Data!$D$2:$D$87,"2008",Data!$A$2:$A$87,"NA",Data!$G$2:$G$87,"None")</f>
        <v>0</v>
      </c>
      <c r="N4" s="14">
        <f>countifs(Data!$D$2:$D$87,"2008",Data!$A$2:$A$87,"NA",Data!$O$2:$O$87,"Very High")</f>
        <v>0</v>
      </c>
      <c r="O4" s="14">
        <f>countifs(Data!$D$2:$D$87,"2008",Data!$A$2:$A$87,"NA",Data!$O$2:$O$87,"High")</f>
        <v>7</v>
      </c>
      <c r="P4" s="16">
        <f t="shared" si="3"/>
        <v>7</v>
      </c>
      <c r="Q4" s="16">
        <f>countifs(Data!$D$2:$D$87,"2013",Data!$A$2:$A$87,"NA",Data!$O$2:$O$87,"Medium")</f>
        <v>2</v>
      </c>
      <c r="R4" s="16">
        <f t="shared" si="4"/>
        <v>3</v>
      </c>
      <c r="S4" s="14">
        <f>countifs(Data!$D$2:$D$87,"2008",Data!$A$2:$A$87,"NA",Data!$O$2:$O$87,"Low")</f>
        <v>3</v>
      </c>
      <c r="T4" s="14">
        <f>countifs(Data!$D$2:$D$87,"2008",Data!$A$2:$A$87,"NA",Data!$O$2:$O$87,"Very Low")</f>
        <v>0</v>
      </c>
      <c r="U4" s="14">
        <f>countifs(Data!$D$2:$D$87,"2008",Data!$A$2:$A$87,"NA",Data!$O$2:$O$87,"None")</f>
        <v>0</v>
      </c>
      <c r="W4" s="14">
        <f>countifs(Data!$D$2:$D$87,"2008",Data!$A$2:$A$87,"NA",Data!$I$2:$I$87,"Very High")</f>
        <v>3</v>
      </c>
      <c r="X4" s="14">
        <f>countifs(Data!$D$2:$D$87,"2008",Data!$A$2:$A$87,"NA",Data!$I$2:$I$87,"High")</f>
        <v>2</v>
      </c>
      <c r="Y4" s="16">
        <f t="shared" si="5"/>
        <v>5</v>
      </c>
      <c r="Z4" s="16">
        <f>countifs(Data!$D$2:$D$87,"2013",Data!$A$2:$A$87,"NA",Data!$I$2:$I$87,"Medium")</f>
        <v>1</v>
      </c>
      <c r="AA4" s="16">
        <f t="shared" si="6"/>
        <v>6</v>
      </c>
      <c r="AB4" s="14">
        <f>countifs(Data!$D$2:$D$87,"2008",Data!$A$2:$A$87,"NA",Data!$I$2:$I$87,"Low")</f>
        <v>6</v>
      </c>
      <c r="AC4" s="14">
        <f>countifs(Data!$D$2:$D$87,"2008",Data!$A$2:$A$87,"NA",Data!$I$2:$I$87,"Very Low")</f>
        <v>0</v>
      </c>
      <c r="AD4" s="14">
        <f>countifs(Data!$D$2:$D$87,"2008",Data!$A$2:$A$87,"NA",Data!$I$2:$I$87,"None")</f>
        <v>0</v>
      </c>
      <c r="AF4" s="17">
        <f>countifs(Data!$D$2:$D$87,"2008",Data!$A$2:$A$87,"NA",Data!$H$2:$H$87,"Yes")</f>
        <v>8</v>
      </c>
      <c r="AG4" s="17">
        <f>countifs(Data!$D$2:$D$87,"2008",Data!$A$2:$A$87,"NA",Data!$H$2:$H$87,"No")</f>
        <v>3</v>
      </c>
    </row>
    <row r="5">
      <c r="A5" s="1">
        <v>2013.0</v>
      </c>
      <c r="B5" s="14">
        <f>countifs(Data!$D$2:$D$87,"2013")</f>
        <v>12</v>
      </c>
      <c r="C5" s="14">
        <f>countifs(Data!$D4:$D89,"2008",Data!$A4:$A89,"NA")</f>
        <v>12</v>
      </c>
      <c r="D5" s="14">
        <f>countifs(Data!$D$2:$D$87,"2013",Data!$A$2:$A$87,"KP")</f>
        <v>0</v>
      </c>
      <c r="E5" s="14">
        <f>countifs(Data!$D$2:$D$87,"2013",Data!$A$2:$A$87,"NA",Data!$G$2:$G$87,"Very High")</f>
        <v>8</v>
      </c>
      <c r="F5" s="14">
        <f>countifs(Data!$D$2:$D$87,"2013",Data!$A$2:$A$87,"NA",Data!$G$2:$G$87,"High")</f>
        <v>0</v>
      </c>
      <c r="G5" s="15">
        <f t="shared" si="1"/>
        <v>8</v>
      </c>
      <c r="H5" s="15">
        <f>countifs(Data!$D$2:$D$87,"2013",Data!$A$2:$A$87,"NA",Data!$G$2:$G$87,"Medium")</f>
        <v>1</v>
      </c>
      <c r="I5" s="15">
        <f t="shared" si="2"/>
        <v>2</v>
      </c>
      <c r="J5" s="14">
        <f>countifs(Data!$D$2:$D$87,"2013",Data!$A$2:$A$87,"NA",Data!$G$2:$G$87,"Low")</f>
        <v>1</v>
      </c>
      <c r="K5" s="14">
        <f>countifs(Data!$D$2:$D$87,"2013",Data!$A$2:$A$87,"NA",Data!$G$2:$G$87,"Very Low")</f>
        <v>1</v>
      </c>
      <c r="L5" s="14">
        <f>countifs(Data!$D$2:$D$87,"2013",Data!$A$2:$A$87,"NA",Data!$G$2:$G$87,"None")</f>
        <v>0</v>
      </c>
      <c r="N5" s="14">
        <f>countifs(Data!$D$2:$D$87,"2013",Data!$A$2:$A$87,"NA",Data!$O$2:$O$87,"Very High")</f>
        <v>1</v>
      </c>
      <c r="O5" s="14">
        <f>countifs(Data!$D$2:$D$87,"2013",Data!$A$2:$A$87,"NA",Data!$O$2:$O$87,"High")</f>
        <v>4</v>
      </c>
      <c r="P5" s="16">
        <f t="shared" si="3"/>
        <v>5</v>
      </c>
      <c r="Q5" s="16">
        <f>countifs(Data!$D$2:$D$87,"2018",Data!$A$2:$A$87,"NA",Data!$O$2:$O$87,"Medium")</f>
        <v>0</v>
      </c>
      <c r="R5" s="16">
        <f t="shared" si="4"/>
        <v>4</v>
      </c>
      <c r="S5" s="14">
        <f>countifs(Data!$D$2:$D$87,"2013",Data!$A$2:$A$87,"NA",Data!$O$2:$O$87,"Low")</f>
        <v>4</v>
      </c>
      <c r="T5" s="14">
        <f>countifs(Data!$D$2:$D$87,"2013",Data!$A$2:$A$87,"NA",Data!$O$2:$O$87,"Very Low")</f>
        <v>0</v>
      </c>
      <c r="U5" s="14">
        <f>countifs(Data!$D$2:$D$87,"2013",Data!$A$2:$A$87,"NA",Data!$O$2:$O$87,"None")</f>
        <v>0</v>
      </c>
      <c r="W5" s="14">
        <f>countifs(Data!$D$2:$D$87,"2013",Data!$A$2:$A$87,"NA",Data!I2:I87,"Very High")</f>
        <v>6</v>
      </c>
      <c r="X5" s="14">
        <f>countifs(Data!$D$2:$D$87,"2013",Data!$A$2:$A$87,"NA",Data!$I$2:$I$87,"High")</f>
        <v>0</v>
      </c>
      <c r="Y5" s="16">
        <f t="shared" si="5"/>
        <v>6</v>
      </c>
      <c r="Z5" s="16">
        <f>countifs(Data!$D$2:$D$87,"2013",Data!$A$2:$A$87,"NA",Data!$I$2:$I$87,"Medium")</f>
        <v>1</v>
      </c>
      <c r="AA5" s="16">
        <f t="shared" si="6"/>
        <v>4</v>
      </c>
      <c r="AB5" s="14">
        <f>countifs(Data!$D$2:$D$87,"2013",Data!$A$2:$A$87,"NA",Data!$I$2:$I$87,"Low")</f>
        <v>4</v>
      </c>
      <c r="AC5" s="14">
        <f>countifs(Data!$D$2:$D$87,"2013",Data!$A$2:$A$87,"NA",Data!$I$2:$I$87,"Very Low")</f>
        <v>0</v>
      </c>
      <c r="AD5" s="14">
        <f>countifs(Data!$D$2:$D$87,"2013",Data!$A$2:$A$87,"NA",Data!$I$2:$I$87,"None")</f>
        <v>0</v>
      </c>
      <c r="AF5" s="17">
        <f>countifs(Data!$D$2:$D$87,"2013",Data!$A$2:$A$87,"NA",Data!H2:H87,"Yes")</f>
        <v>6</v>
      </c>
      <c r="AG5" s="17">
        <f>countifs(Data!$D$2:$D$87,"2013",Data!$A$2:$A$87,"NA",Data!$H$2:$H$87,"No")</f>
        <v>5</v>
      </c>
    </row>
    <row r="6">
      <c r="A6" s="1">
        <v>2018.0</v>
      </c>
      <c r="B6" s="14">
        <f>countifs(Data!$D$2:$D$87,"2018")</f>
        <v>12</v>
      </c>
      <c r="C6" s="14">
        <f>countifs(Data!$D5:$D90,"2018",Data!$A5:$A90,"NA")</f>
        <v>12</v>
      </c>
      <c r="D6" s="14">
        <f>countifs(Data!$D$2:$D$87,"2018",Data!$A$2:$A$87,"KP")</f>
        <v>0</v>
      </c>
      <c r="E6" s="14">
        <f>countifs(Data!$D$2:$D$87,"2024",Data!$A$2:$A$87,"NA",Data!$G$2:$G$87,"Very High")</f>
        <v>0</v>
      </c>
      <c r="F6" s="14">
        <f>countifs(Data!$D$2:$D$87,"2018",Data!$A$2:$A$87,"NA",Data!$G$2:$G$87,"High")</f>
        <v>4</v>
      </c>
      <c r="G6" s="15">
        <f t="shared" si="1"/>
        <v>4</v>
      </c>
      <c r="H6" s="15">
        <f>countifs(Data!$D$2:$D$87,"2018",Data!$A$2:$A$87,"NA",Data!$G$2:$G$87,"Medium")</f>
        <v>0</v>
      </c>
      <c r="I6" s="15">
        <f t="shared" si="2"/>
        <v>7</v>
      </c>
      <c r="J6" s="14">
        <f>countifs(Data!$D$2:$D$87,"2018",Data!$A$2:$A$87,"NA",Data!$G$2:$G$87,"Low")</f>
        <v>1</v>
      </c>
      <c r="K6" s="14">
        <f>countifs(Data!$D$2:$D$87,"2018",Data!$A$2:$A$87,"NA",Data!$G$2:$G$87,"Very Low")</f>
        <v>6</v>
      </c>
      <c r="L6" s="14">
        <f>countifs(Data!$D$2:$D$87,"2018",Data!$A$2:$A$87,"NA",Data!$G$2:$G$87,"None")</f>
        <v>0</v>
      </c>
      <c r="N6" s="14">
        <f>countifs(Data!$D$2:$D$87,"2018",Data!$A$2:$A$87,"NA",Data!$O$2:$O$87,"Very High")</f>
        <v>0</v>
      </c>
      <c r="O6" s="14">
        <f>countifs(Data!$D$2:$D$87,"2018",Data!$A$2:$A$87,"NA",Data!$O$2:$O$87,"High")</f>
        <v>4</v>
      </c>
      <c r="P6" s="16">
        <f t="shared" si="3"/>
        <v>4</v>
      </c>
      <c r="Q6" s="16">
        <f>countifs(Data!$D$2:$D$87,"2018",Data!$A$2:$A$87,"NA",Data!$O$2:$O$87,"High")</f>
        <v>4</v>
      </c>
      <c r="R6" s="16">
        <f t="shared" si="4"/>
        <v>8</v>
      </c>
      <c r="S6" s="14">
        <f>countifs(Data!$D$2:$D$87,"2018",Data!$A$2:$A$87,"NA",Data!$O$2:$O$87,"Low")</f>
        <v>7</v>
      </c>
      <c r="T6" s="14">
        <f>countifs(Data!$D$2:$D$87,"2018",Data!$A$2:$A$87,"NA",Data!$O$2:$O$87,"Very Low")</f>
        <v>0</v>
      </c>
      <c r="U6" s="14">
        <f>countifs(Data!$D$2:$D$87,"2018",Data!$A$2:$A$87,"NA",Data!$O$2:$O$87,"None")</f>
        <v>1</v>
      </c>
      <c r="W6" s="14">
        <f>countifs(Data!$D$2:$D$87,"2018",Data!$A$2:$A$87,"NA",Data!$I$2:$I$87,"Very High")</f>
        <v>2</v>
      </c>
      <c r="X6" s="14">
        <f>countifs(Data!$D$2:$D$87,"2018",Data!$A$2:$A$87,"NA",Data!$I$2:$I$87,"High")</f>
        <v>0</v>
      </c>
      <c r="Y6" s="16">
        <f t="shared" si="5"/>
        <v>2</v>
      </c>
      <c r="Z6" s="16">
        <f>countifs(Data!$D$2:$D$87,"2018",Data!$A$2:$A$87,"NA",Data!$I$2:$I$87,"Medium")</f>
        <v>0</v>
      </c>
      <c r="AA6" s="16">
        <f t="shared" si="6"/>
        <v>10</v>
      </c>
      <c r="AB6" s="14">
        <f>countifs(Data!$D$2:$D$87,"2018",Data!$A$2:$A$87,"NA",Data!$I$2:$I$87,"Low")</f>
        <v>6</v>
      </c>
      <c r="AC6" s="14">
        <f>countifs(Data!$D$2:$D$87,"2018",Data!$A$2:$A$87,"NA",Data!$I$2:$I$87,"Very Low")</f>
        <v>4</v>
      </c>
      <c r="AD6" s="14">
        <f>countifs(Data!$D$2:$D$87,"2018",Data!$A$2:$A$87,"NA",Data!$I$2:$I$87,"None")</f>
        <v>0</v>
      </c>
      <c r="AF6" s="17">
        <f>countifs(Data!$D$2:$D$87,"2018",Data!$A$2:$A$87,"NA",Data!$H$2:$H$87,"Yes")</f>
        <v>5</v>
      </c>
      <c r="AG6" s="17">
        <f>countifs(Data!$D$2:$D$87,"2018",Data!$A$2:$A$87,"NA",Data!$H$2:$H$87,"No")</f>
        <v>7</v>
      </c>
    </row>
    <row r="7">
      <c r="A7" s="1">
        <v>2024.0</v>
      </c>
      <c r="B7" s="14">
        <f>countifs(Data!$D$2:$D$87,"2018")</f>
        <v>12</v>
      </c>
      <c r="C7" s="14">
        <f>countifs(Data!$D6:$D91,"2024",Data!$A6:$A91,"NA")</f>
        <v>6</v>
      </c>
      <c r="D7" s="14">
        <f>countifs(Data!$D$2:$D$87,"2024",Data!$A$2:$A$87,"KP")</f>
        <v>16</v>
      </c>
      <c r="E7" s="14">
        <f>countifs(Data!$D$2:$D$87,"2018",Data!$A$2:$A$87,"NA",Data!$G$2:$G$87,"Very High")</f>
        <v>1</v>
      </c>
      <c r="F7" s="14">
        <f>countifs(Data!$D$2:$D$87,"2024",Data!$A$2:$A$87,"NA",Data!$G$2:$G$87,"High")</f>
        <v>2</v>
      </c>
      <c r="G7" s="15">
        <f t="shared" si="1"/>
        <v>3</v>
      </c>
      <c r="H7" s="15">
        <f>countifs(Data!$D$2:$D$87,"2024",Data!$A$2:$A$87,"NA",Data!$G$2:$G$87,"Medium")</f>
        <v>2</v>
      </c>
      <c r="I7" s="15">
        <f t="shared" si="2"/>
        <v>1</v>
      </c>
      <c r="J7" s="14">
        <f>countifs(Data!$D$2:$D$87,"2024",Data!$A$2:$A$87,"NA",Data!$G$2:$G$87,"Low")</f>
        <v>1</v>
      </c>
      <c r="K7" s="14">
        <f>countifs(Data!$D$2:$D$87,"2024",Data!$A$2:$A$87,"NA",Data!$G$2:$G$87,"Very Low")</f>
        <v>0</v>
      </c>
      <c r="L7" s="14">
        <f>countifs(Data!$D$2:$D$87,"2024",Data!$A$2:$A$87,"NA",Data!$G$2:$G$87,"None")</f>
        <v>0</v>
      </c>
      <c r="N7" s="14">
        <f>countifs(Data!$D$2:$D$87,"2024",Data!$A$2:$A$87,"NA",Data!$O$2:$O$87,"Very High")</f>
        <v>0</v>
      </c>
      <c r="O7" s="14">
        <f>countifs(Data!$D$2:$D$87,"2024",Data!$A$2:$A$87,"NA",Data!$O$2:$O$87,"High")</f>
        <v>0</v>
      </c>
      <c r="P7" s="16">
        <f t="shared" si="3"/>
        <v>0</v>
      </c>
      <c r="Q7" s="16">
        <f>countifs(Data!$D$2:$D$87,"2024",Data!$A$2:$A$87,"NA",Data!$O$2:$O$87,"High")</f>
        <v>0</v>
      </c>
      <c r="R7" s="16">
        <f t="shared" si="4"/>
        <v>5</v>
      </c>
      <c r="S7" s="14">
        <f>countifs(Data!$D$2:$D$87,"2024",Data!$A$2:$A$87,"NA",Data!$O$2:$O$87,"Low")</f>
        <v>5</v>
      </c>
      <c r="T7" s="14">
        <f>countifs(Data!$D$2:$D$87,"2024",Data!$A$2:$A$87,"NA",Data!$O$2:$O$87,"Very Low")</f>
        <v>0</v>
      </c>
      <c r="U7" s="14">
        <f>countifs(Data!$D$2:$D$87,"2024",Data!$A$2:$A$87,"NA",Data!$O$2:$O$87,"None")</f>
        <v>0</v>
      </c>
      <c r="W7" s="14">
        <f>countifs(Data!$D$2:$D$87,"2024",Data!$A$2:$A$87,"NA",Data!$I$2:$I$87,"Very High")</f>
        <v>0</v>
      </c>
      <c r="X7" s="14">
        <f>countifs(Data!$D$2:$D$87,"2024",Data!$A$2:$A$87,"NA",Data!$I$2:$I$87,"High")</f>
        <v>0</v>
      </c>
      <c r="Y7" s="16">
        <f t="shared" si="5"/>
        <v>0</v>
      </c>
      <c r="Z7" s="16">
        <f>countifs(Data!$D$2:$D$87,"2024",Data!$A$2:$A$87,"NA",Data!$I$2:$I$87,"Medium")</f>
        <v>1</v>
      </c>
      <c r="AA7" s="16">
        <f t="shared" si="6"/>
        <v>4</v>
      </c>
      <c r="AB7" s="14">
        <f>countifs(Data!$D$2:$D$87,"2024",Data!$A$2:$A$87,"NA",Data!$I$2:$I$87,"Low")</f>
        <v>0</v>
      </c>
      <c r="AC7" s="14">
        <f>countifs(Data!$D$2:$D$87,"2024",Data!$A$2:$A$87,"NA",Data!$I$2:$I$87,"Very Low")</f>
        <v>4</v>
      </c>
      <c r="AD7" s="14">
        <f>countifs(Data!$D$2:$D$87,"2024",Data!$A$2:$A$87,"NA",Data!$I$2:$I$87,"None")</f>
        <v>0</v>
      </c>
      <c r="AF7" s="17">
        <f>countifs(Data!$D$2:$D$87,"2024",Data!$A$2:$A$87,"NA",Data!$H$2:$H$87,"Yes")</f>
        <v>1</v>
      </c>
      <c r="AG7" s="17">
        <f>countifs(Data!$D$2:$D$87,"2024",Data!$A$2:$A$87,"NA",Data!$H$2:$H$87,"No")</f>
        <v>4</v>
      </c>
    </row>
    <row r="8">
      <c r="A8" s="1"/>
      <c r="G8" s="15"/>
      <c r="H8" s="15"/>
      <c r="I8" s="15"/>
      <c r="P8" s="16"/>
      <c r="Q8" s="16"/>
      <c r="R8" s="16"/>
      <c r="Y8" s="16"/>
      <c r="Z8" s="16"/>
      <c r="AA8" s="16"/>
      <c r="AF8" s="17"/>
      <c r="AG8" s="17"/>
    </row>
    <row r="9">
      <c r="G9" s="6" t="s">
        <v>18</v>
      </c>
      <c r="H9" s="5"/>
      <c r="I9" s="5"/>
      <c r="P9" s="6"/>
      <c r="Q9" s="5" t="s">
        <v>7</v>
      </c>
      <c r="R9" s="5"/>
      <c r="Y9" s="7"/>
      <c r="Z9" s="7" t="s">
        <v>7</v>
      </c>
      <c r="AA9" s="7"/>
      <c r="AF9" s="17"/>
      <c r="AG9" s="17"/>
    </row>
    <row r="10">
      <c r="A10" s="1">
        <v>2019.0</v>
      </c>
      <c r="B10" s="14">
        <f>countifs(Data!$D$2:$D$87,"2019",Data!$A$2:$A$87,"KP")</f>
        <v>16</v>
      </c>
      <c r="C10" s="14">
        <f>countifs(Data!$D$2:$D$87,"2019",Data!$A$2:$A$87,"NA")</f>
        <v>0</v>
      </c>
      <c r="D10" s="14">
        <f>countifs(Data!$D$2:$D$87,"2019",Data!$A$2:$A$87,"KP")</f>
        <v>16</v>
      </c>
      <c r="E10" s="14">
        <f>countifs(Data!$D$2:$D$87,"2019",Data!$A$2:$A$87,"KP",Data!$G$2:$G$87,"Very High")</f>
        <v>7</v>
      </c>
      <c r="F10" s="14">
        <f>countifs(Data!$D$2:$D$87,"2019",Data!$A$2:$A$87,"KP",Data!$G$2:$G$87,"High")</f>
        <v>3</v>
      </c>
      <c r="G10" s="15">
        <f t="shared" ref="G10:G11" si="7">SUM(E10:F10)</f>
        <v>10</v>
      </c>
      <c r="H10" s="15">
        <f>countifs(Data!$D$2:$D$87,"2019",Data!$A$2:$A$87,"KP",Data!$G$2:$G$87,"Medium")</f>
        <v>1</v>
      </c>
      <c r="I10" s="15">
        <f t="shared" ref="I10:I11" si="8">SUM(J10:K10)</f>
        <v>5</v>
      </c>
      <c r="J10" s="14">
        <f>countifs(Data!$D$2:$D$87,"2019",Data!$A$2:$A$87,"KP",Data!$G$2:$G$87,"Low")</f>
        <v>4</v>
      </c>
      <c r="K10" s="14">
        <f>countifs(Data!$D$2:$D$87,"2019",Data!$A$2:$A$87,"KP",Data!$G$2:$G$87,"Very Low")</f>
        <v>1</v>
      </c>
      <c r="L10" s="14">
        <f>countifs(Data!$D$2:$D$87,"2019",Data!$A$2:$A$87,"KP",Data!$G$2:$G$87,"None")</f>
        <v>0</v>
      </c>
      <c r="N10" s="14">
        <f>countifs(Data!$D$2:$D$87,"2019",Data!$A$2:$A$87,"KP",Data!$O$2:$O$87,"Very High")</f>
        <v>5</v>
      </c>
      <c r="O10" s="14">
        <f>countifs(Data!$D$2:$D$87,"2019",Data!$A$2:$A$87,"KP",Data!$O$2:$O$87,"High")</f>
        <v>2</v>
      </c>
      <c r="P10" s="16">
        <f t="shared" ref="P10:P11" si="9">sum(N10:O10)</f>
        <v>7</v>
      </c>
      <c r="Q10" s="16">
        <f>countifs(Data!$D$2:$D$87,"2019",Data!$A$2:$A$87,"KP",Data!$O$2:$O$87,"Medium")</f>
        <v>2</v>
      </c>
      <c r="R10" s="16">
        <f t="shared" ref="R10:R11" si="10">SUM(S10:U10)</f>
        <v>7</v>
      </c>
      <c r="S10" s="14">
        <f>countifs(Data!$D$2:$D$87,"2019",Data!$A$2:$A$87,"KP",Data!$O$2:$O$87,"Low")</f>
        <v>5</v>
      </c>
      <c r="T10" s="14">
        <f>countifs(Data!$D$2:$D$87,"2019",Data!$A$2:$A$87,"KP",Data!$O$2:$O$87,"Very Low")</f>
        <v>0</v>
      </c>
      <c r="U10" s="14">
        <f>countifs(Data!$D$2:$D$87,"2019",Data!$A$2:$A$87,"KP",Data!$O$2:$O$87,"None")</f>
        <v>2</v>
      </c>
      <c r="W10" s="14">
        <f>countifs(Data!$D$2:$D$87,"2019",Data!$A$2:$A$87,"KP",Data!$I$2:$I$87,"Very High")</f>
        <v>5</v>
      </c>
      <c r="X10" s="14">
        <f>countifs(Data!$D$2:$D$87,"2019",Data!$A$2:$A$87,"KP",Data!$I$2:$I$87,"High")</f>
        <v>0</v>
      </c>
      <c r="Y10" s="16">
        <f t="shared" ref="Y10:Y11" si="11">sum(W10:X10)</f>
        <v>5</v>
      </c>
      <c r="Z10" s="16">
        <f>countifs(Data!$D$2:$D$87,"2019",Data!$A$2:$A$87,"KP",Data!$I$2:$I$87,"Medium")</f>
        <v>2</v>
      </c>
      <c r="AA10" s="16">
        <f t="shared" ref="AA10:AA11" si="12">sum(AB10:AD10)</f>
        <v>9</v>
      </c>
      <c r="AB10" s="14">
        <f>countifs(Data!$D$2:$D$87,"2019",Data!$A$2:$A$87,"KP",Data!$I$2:$I$87,"Low")</f>
        <v>8</v>
      </c>
      <c r="AC10" s="14">
        <f>countifs(Data!$D$2:$D$87,"2019",Data!$A$2:$A$87,"KP",Data!$I$2:$I$87,"Very Low")</f>
        <v>0</v>
      </c>
      <c r="AD10" s="14">
        <f>countifs(Data!$D$2:$D$87,"2019",Data!$A$2:$A$87,"KP",Data!$I$2:$I$87,"None")</f>
        <v>1</v>
      </c>
      <c r="AF10" s="17">
        <f>countifs(Data!$D$2:$D$87,"2019",Data!$A$2:$A$87,"KP",Data!$H$2:$H$87,"Yes")</f>
        <v>9</v>
      </c>
      <c r="AG10" s="17">
        <f>countifs(Data!$D$2:$D$87,"2019",Data!$A$2:$A$87,"KP",Data!$H$2:$H$87,"No")</f>
        <v>7</v>
      </c>
    </row>
    <row r="11">
      <c r="A11" s="1">
        <v>2024.0</v>
      </c>
      <c r="C11" s="14">
        <f>countifs(Data!$D$2:$D$87,"2024",Data!$A$2:$A$87,"NA")</f>
        <v>6</v>
      </c>
      <c r="D11" s="14">
        <f>countifs(Data!$D$2:$D$87,"2024",Data!$A$2:$A$87,"KP")</f>
        <v>16</v>
      </c>
      <c r="E11" s="14">
        <f>countifs(Data!$D$2:$D$87,"2024",Data!$A$2:$A$87,"KP",Data!$G$2:$G$87,"Very High")</f>
        <v>5</v>
      </c>
      <c r="F11" s="14">
        <f>countifs(Data!$D$2:$D$87,"2024",Data!$A$2:$A$87,"KP",Data!$G$2:$G$87,"High")</f>
        <v>6</v>
      </c>
      <c r="G11" s="15">
        <f t="shared" si="7"/>
        <v>11</v>
      </c>
      <c r="H11" s="15">
        <f>countifs(Data!$D$2:$D$87,"2024",Data!$A$2:$A$87,"KP",Data!$G$2:$G$87,"Medium")</f>
        <v>2</v>
      </c>
      <c r="I11" s="15">
        <f t="shared" si="8"/>
        <v>2</v>
      </c>
      <c r="J11" s="14">
        <f>countifs(Data!$D$2:$D$87,"2024",Data!$A$2:$A$87,"KP",Data!$G$2:$G$87,"Low")</f>
        <v>2</v>
      </c>
      <c r="K11" s="14">
        <f>countifs(Data!$D$2:$D$87,"2024",Data!$A$2:$A$87,"KP",Data!$G$2:$G$87,"Very Low")</f>
        <v>0</v>
      </c>
      <c r="L11" s="14">
        <f>countifs(Data!$D$2:$D$87,"2024",Data!$A$2:$A$87,"KP",Data!$G$2:$G$87,"None")</f>
        <v>0</v>
      </c>
      <c r="N11" s="14">
        <f>countifs(Data!$D$2:$D$87,"2024",Data!$A$2:$A$87,"KP",Data!$O$2:$O$87,"Very High")</f>
        <v>1</v>
      </c>
      <c r="O11" s="14">
        <f>countifs(Data!$D$2:$D$87,"2024",Data!$A$2:$A$87,"KP",Data!$O$2:$O$87,"High")</f>
        <v>3</v>
      </c>
      <c r="P11" s="16">
        <f t="shared" si="9"/>
        <v>4</v>
      </c>
      <c r="Q11" s="16">
        <f>countifs(Data!$D$2:$D$87,"2024",Data!$A$2:$A$87,"KP",Data!$O$2:$O$87,"Medium")</f>
        <v>6</v>
      </c>
      <c r="R11" s="16">
        <f t="shared" si="10"/>
        <v>5</v>
      </c>
      <c r="S11" s="14">
        <f>countifs(Data!$D$2:$D$87,"2024",Data!$A$2:$A$87,"KP",Data!$O$2:$O$87,"Low")</f>
        <v>5</v>
      </c>
      <c r="T11" s="14">
        <f>countifs(Data!$D$2:$D$87,"2024",Data!$A$2:$A$87,"KP",Data!$O$2:$O$87,"Very Low")</f>
        <v>0</v>
      </c>
      <c r="U11" s="14">
        <f>countifs(Data!$D$2:$D$87,"2024",Data!$A$2:$A$87,"KP",Data!$O$2:$O$87,"None")</f>
        <v>0</v>
      </c>
      <c r="W11" s="14">
        <f>countifs(Data!$D$2:$D$87,"2024",Data!$A$2:$A$87,"KP",Data!$I$2:$I$87,"Very High")</f>
        <v>1</v>
      </c>
      <c r="X11" s="14">
        <f>countifs(Data!$D$2:$D$87,"2024",Data!$A$2:$A$87,"KP",Data!$I$2:$I$87,"High")</f>
        <v>3</v>
      </c>
      <c r="Y11" s="16">
        <f t="shared" si="11"/>
        <v>4</v>
      </c>
      <c r="Z11" s="16">
        <f>countifs(Data!$D$2:$D$87,"2024",Data!$A$2:$A$87,"KP",Data!$I$2:$I$87,"Medium")</f>
        <v>2</v>
      </c>
      <c r="AA11" s="16">
        <f t="shared" si="12"/>
        <v>9</v>
      </c>
      <c r="AB11" s="14">
        <f>countifs(Data!$D$2:$D$87,"2024",Data!$A$2:$A$87,"KP",Data!$I$2:$I$87,"Low")</f>
        <v>6</v>
      </c>
      <c r="AC11" s="14">
        <f>countifs(Data!$D$2:$D$87,"2024",Data!$A$2:$A$87,"KP",Data!$I$2:$I$87,"Very Low")</f>
        <v>3</v>
      </c>
      <c r="AD11" s="14">
        <f>countifs(Data!$D$2:$D$87,"2024",Data!$A$2:$A$87,"KP",Data!$I$2:$I$87,"None")</f>
        <v>0</v>
      </c>
      <c r="AF11" s="17">
        <f>countifs(Data!$D$2:$D$87,"2024",Data!$A$2:$A$87,"KP",Data!$H$2:$H$87,"Yes")</f>
        <v>9</v>
      </c>
      <c r="AG11" s="17">
        <f>countifs(Data!$D$2:$D$87,"2024",Data!$A$2:$A$87,"KP",Data!$H$2:$H$87,"No")</f>
        <v>6</v>
      </c>
    </row>
    <row r="15">
      <c r="G15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6.14"/>
    <col hidden="1" min="2" max="2" width="14.43"/>
    <col customWidth="1" min="3" max="3" width="4.71"/>
    <col customWidth="1" min="4" max="4" width="5.29"/>
    <col customWidth="1" min="5" max="5" width="10.0"/>
    <col customWidth="1" min="6" max="6" width="9.43"/>
    <col customWidth="1" min="7" max="8" width="9.71"/>
    <col customWidth="1" min="9" max="10" width="7.71"/>
    <col customWidth="1" min="11" max="11" width="9.57"/>
    <col customWidth="1" min="12" max="12" width="9.0"/>
    <col customWidth="1" min="14" max="14" width="9.71"/>
    <col customWidth="1" min="15" max="15" width="5.71"/>
    <col customWidth="1" min="16" max="16" width="6.29"/>
    <col customWidth="1" min="17" max="17" width="8.43"/>
    <col customWidth="1" min="18" max="18" width="6.29"/>
    <col customWidth="1" min="19" max="19" width="5.57"/>
    <col customWidth="1" min="20" max="20" width="9.86"/>
    <col customWidth="1" min="21" max="21" width="6.71"/>
    <col customWidth="1" min="22" max="22" width="8.57"/>
    <col customWidth="1" min="23" max="23" width="9.71"/>
    <col customWidth="1" min="24" max="24" width="7.29"/>
    <col customWidth="1" min="25" max="25" width="11.29"/>
    <col customWidth="1" min="26" max="26" width="9.86"/>
    <col customWidth="1" min="27" max="27" width="11.29"/>
    <col customWidth="1" min="28" max="28" width="9.14"/>
    <col customWidth="1" min="29" max="29" width="9.86"/>
    <col customWidth="1" min="30" max="30" width="8.57"/>
    <col customWidth="1" min="31" max="31" width="9.0"/>
  </cols>
  <sheetData>
    <row r="1">
      <c r="B1" s="1"/>
      <c r="D1" s="1"/>
      <c r="E1" s="2"/>
      <c r="F1" s="3"/>
      <c r="G1" s="2" t="s">
        <v>20</v>
      </c>
      <c r="H1" s="4"/>
      <c r="I1" s="4"/>
      <c r="J1" s="4"/>
      <c r="K1" s="4"/>
      <c r="L1" s="4"/>
      <c r="N1" s="5"/>
      <c r="O1" s="6"/>
      <c r="P1" s="6" t="s">
        <v>21</v>
      </c>
      <c r="Q1" s="5"/>
      <c r="R1" s="5"/>
      <c r="S1" s="5"/>
      <c r="T1" s="5"/>
      <c r="U1" s="5"/>
      <c r="W1" s="7"/>
      <c r="X1" s="8"/>
      <c r="Y1" s="8" t="s">
        <v>22</v>
      </c>
      <c r="Z1" s="7"/>
      <c r="AA1" s="7"/>
      <c r="AB1" s="7"/>
      <c r="AC1" s="7"/>
      <c r="AD1" s="7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1" t="s">
        <v>10</v>
      </c>
      <c r="H2" s="11" t="s">
        <v>11</v>
      </c>
      <c r="I2" s="11" t="s">
        <v>12</v>
      </c>
      <c r="J2" s="1" t="s">
        <v>13</v>
      </c>
      <c r="K2" s="1" t="s">
        <v>14</v>
      </c>
      <c r="L2" s="1" t="s">
        <v>15</v>
      </c>
      <c r="N2" s="1" t="s">
        <v>8</v>
      </c>
      <c r="O2" s="12" t="s">
        <v>9</v>
      </c>
      <c r="P2" s="11" t="s">
        <v>10</v>
      </c>
      <c r="Q2" s="11" t="s">
        <v>11</v>
      </c>
      <c r="R2" s="11" t="s">
        <v>12</v>
      </c>
      <c r="S2" s="1" t="s">
        <v>13</v>
      </c>
      <c r="T2" s="1" t="s">
        <v>14</v>
      </c>
      <c r="U2" s="1" t="s">
        <v>15</v>
      </c>
      <c r="W2" s="1" t="s">
        <v>8</v>
      </c>
      <c r="X2" s="12" t="s">
        <v>9</v>
      </c>
      <c r="Y2" s="11" t="s">
        <v>10</v>
      </c>
      <c r="Z2" s="13" t="s">
        <v>11</v>
      </c>
      <c r="AA2" s="11" t="s">
        <v>12</v>
      </c>
      <c r="AB2" s="1" t="s">
        <v>13</v>
      </c>
      <c r="AC2" s="1" t="s">
        <v>14</v>
      </c>
      <c r="AD2" s="1" t="s">
        <v>15</v>
      </c>
    </row>
    <row r="3">
      <c r="A3" s="1">
        <v>2002.0</v>
      </c>
      <c r="B3" s="14">
        <f>countifs(Data!$D$2:$D$87,"2002")</f>
        <v>12</v>
      </c>
      <c r="C3" s="14">
        <f>countifs(Data!$D$2:$D$87,"2008",Data!$A$2:$A$87,"NA")</f>
        <v>12</v>
      </c>
      <c r="D3" s="14">
        <f>countifs(Data!$D$2:$D$87,"2002",Data!$A$2:$A$87,"KP")</f>
        <v>0</v>
      </c>
      <c r="E3" s="14">
        <f>countifs(Data!$D$2:$D$87,"2002",Data!$A$2:$A$87,"NA",Data!$J$2:$J$87,"Very High")</f>
        <v>11</v>
      </c>
      <c r="F3" s="14">
        <f>countifs(Data!$D2:$D87,"2002",Data!$A2:$A87,"NA",Data!$J2:$J87,"High")</f>
        <v>0</v>
      </c>
      <c r="G3" s="15">
        <f t="shared" ref="G3:G7" si="1">SUM(E3:F3)</f>
        <v>11</v>
      </c>
      <c r="H3" s="15">
        <f>countifs(Data!$D2:$D87,"2002",Data!$A2:$A87,"NA",Data!$J2:$J87,"Medium")</f>
        <v>0</v>
      </c>
      <c r="I3" s="15">
        <f>SUM(J3:L3)</f>
        <v>1</v>
      </c>
      <c r="J3" s="14">
        <f>countifs(Data!$D2:$D87,"2002",Data!$A2:$A87,"NA",Data!$J2:$J87,"Low")</f>
        <v>0</v>
      </c>
      <c r="K3" s="14">
        <f>countifs(Data!$D2:$D87,"2002",Data!$A2:$A87,"NA",Data!$J2:$J87,"Very Low")</f>
        <v>1</v>
      </c>
      <c r="L3" s="14">
        <f>countifs(Data!$D2:$D87,"2002",Data!$A2:$A87,"NA",Data!$J2:$J87,"None")</f>
        <v>0</v>
      </c>
      <c r="M3" s="14">
        <f t="shared" ref="M3:M11" si="2">sum(E3:F3,H3,J3:L3)</f>
        <v>12</v>
      </c>
      <c r="N3" s="14">
        <f>countifs(Data!$D$2:$D$87,"2002",Data!$A$2:$A$87,"NA",Data!$L$2:$L$87,"Very High")</f>
        <v>0</v>
      </c>
      <c r="O3" s="14">
        <f>countifs(Data!$D2:$D87,"2002",Data!$A2:$A87,"NA",Data!$L2:$L87,"High")</f>
        <v>0</v>
      </c>
      <c r="P3" s="15">
        <f t="shared" ref="P3:P7" si="3">SUM(N3:O3)</f>
        <v>0</v>
      </c>
      <c r="Q3" s="15">
        <f>countifs(Data!$D2:$D87,"2002",Data!$A2:$A87,"NA",Data!$L$2:$L87,"Medium")</f>
        <v>1</v>
      </c>
      <c r="R3" s="15">
        <f t="shared" ref="R3:R7" si="4">SUM(S3:U3)</f>
        <v>11</v>
      </c>
      <c r="S3" s="14">
        <f>countifs(Data!$D2:$D87,"2002",Data!$A2:$A87,"NA",Data!$L2:$L87,"Low")</f>
        <v>4</v>
      </c>
      <c r="T3" s="14">
        <f>countifs(Data!$D2:$D87,"2002",Data!$A2:$A87,"NA",Data!$L2:$L87,"Very Low")</f>
        <v>0</v>
      </c>
      <c r="U3" s="14">
        <f>countifs(Data!$D2:$D87,"2002",Data!$A2:$A87,"NA",Data!$L2:$L87,"None")</f>
        <v>7</v>
      </c>
      <c r="V3" s="14">
        <f t="shared" ref="V3:V11" si="5">sum(N3:O3,Q3,S3:U3)</f>
        <v>12</v>
      </c>
      <c r="W3" s="14">
        <f>countifs(Data!$D$2:$D$87,"2002",Data!$A$2:$A$87,"NA",Data!$N$2:$N$87,"Very High")</f>
        <v>0</v>
      </c>
      <c r="X3" s="14">
        <f>countifs(Data!$D2:$D87,"2002",Data!$A2:$A87,"NA",Data!$N2:$N87,"High")</f>
        <v>6</v>
      </c>
      <c r="Y3" s="15">
        <f t="shared" ref="Y3:Y7" si="6">SUM(W3:X3)</f>
        <v>6</v>
      </c>
      <c r="Z3" s="15">
        <f>countifs(Data!$D2:$D87,"2002",Data!$A2:$A87,"NA",Data!$N$2:$N87,"Medium")</f>
        <v>0</v>
      </c>
      <c r="AA3" s="15">
        <f t="shared" ref="AA3:AA7" si="7">SUM(AB3:AD3)</f>
        <v>6</v>
      </c>
      <c r="AB3" s="14">
        <f>countifs(Data!$D2:$D87,"2002",Data!$A2:$A87,"NA",Data!$N2:$N87,"Low")</f>
        <v>5</v>
      </c>
      <c r="AC3" s="14">
        <f>countifs(Data!$D2:$D87,"2002",Data!$A2:$A87,"NA",Data!$N2:$N87,"Very Low")</f>
        <v>1</v>
      </c>
      <c r="AD3" s="14">
        <f>countifs(Data!$D2:$D87,"2002",Data!$A2:$A87,"NA",Data!$N2:$N87,"None")</f>
        <v>0</v>
      </c>
      <c r="AE3" s="14">
        <f t="shared" ref="AE3:AE11" si="8">sum(W3:X3,Z3,AB3:AD3)</f>
        <v>12</v>
      </c>
    </row>
    <row r="4">
      <c r="A4" s="1">
        <v>2008.0</v>
      </c>
      <c r="B4" s="14">
        <f>countifs(Data!$D$2:$D$87,"2008")</f>
        <v>12</v>
      </c>
      <c r="C4" s="14">
        <f>countifs(Data!$D3:$D88,"2013",Data!$A3:$A88,"NA")</f>
        <v>12</v>
      </c>
      <c r="D4" s="14">
        <f>countifs(Data!$D$2:$D$87,"2008",Data!$A$2:$A$87,"KP")</f>
        <v>0</v>
      </c>
      <c r="E4" s="14">
        <f>countifs(Data!$D$2:$D$87,"2008",Data!$A$2:$A$87,"NA",Data!$J$2:$J$87,"Very High")</f>
        <v>4</v>
      </c>
      <c r="F4" s="14">
        <f>countifs(Data!$D$2:$D$87,"2008",Data!$A$2:$A$87,"NA",Data!$J$2:$J$87,"High")</f>
        <v>1</v>
      </c>
      <c r="G4" s="15">
        <f t="shared" si="1"/>
        <v>5</v>
      </c>
      <c r="H4" s="15">
        <f>countifs(Data!$D$2:$D$87,"2008",Data!$A$2:$A$87,"NA",Data!$J$2:$J$87,"Medium")</f>
        <v>1</v>
      </c>
      <c r="I4" s="15">
        <f t="shared" ref="I4:I7" si="9">SUM(J4:K4)</f>
        <v>5</v>
      </c>
      <c r="J4" s="14">
        <f>countifs(Data!$D$2:$D$87,"2008",Data!$A$2:$A$87,"NA",Data!$J$2:$J$87,"Low")</f>
        <v>1</v>
      </c>
      <c r="K4" s="14">
        <f>countifs(Data!$D$2:$D$87,"2008",Data!$A$2:$A$87,"NA",Data!$J$2:$J$87,"Very Low")</f>
        <v>4</v>
      </c>
      <c r="L4" s="14">
        <f>countifs(Data!$D$2:$D$87,"2008",Data!$A$2:$A$87,"NA",Data!$J$2:$J$87,"None")</f>
        <v>0</v>
      </c>
      <c r="M4" s="14">
        <f t="shared" si="2"/>
        <v>11</v>
      </c>
      <c r="N4" s="14">
        <f>countifs(Data!$D$2:$D$87,"2008",Data!$A$2:$A$87,"NA",Data!$L$2:$L$87,"Very High")</f>
        <v>0</v>
      </c>
      <c r="O4" s="14">
        <f>countifs(Data!$D$2:$D$87,"2008",Data!$A$2:$A$87,"NA",Data!$L$2:$L$87,"High")</f>
        <v>1</v>
      </c>
      <c r="P4" s="15">
        <f t="shared" si="3"/>
        <v>1</v>
      </c>
      <c r="Q4" s="15">
        <f>countifs(Data!$D$2:$D$87,"2008",Data!$A$2:$A$87,"NA",Data!$L$2:$L$87,"Medium")</f>
        <v>3</v>
      </c>
      <c r="R4" s="15">
        <f t="shared" si="4"/>
        <v>7</v>
      </c>
      <c r="S4" s="14">
        <f>countifs(Data!$D$2:$D$87,"2008",Data!$A$2:$A$87,"NA",Data!$L$2:$L$87,"Low")</f>
        <v>3</v>
      </c>
      <c r="T4" s="14">
        <f>countifs(Data!$D$2:$D$87,"2008",Data!$A$2:$A$87,"NA",Data!$L$2:$L$87,"Very Low")</f>
        <v>0</v>
      </c>
      <c r="U4" s="14">
        <f>countifs(Data!$D$2:$D$87,"2008",Data!$A$2:$A$87,"NA",Data!$L$2:$L$87,"None")</f>
        <v>4</v>
      </c>
      <c r="V4" s="14">
        <f t="shared" si="5"/>
        <v>11</v>
      </c>
      <c r="W4" s="14">
        <f>countifs(Data!$D$2:$D$87,"2008",Data!$A$2:$A$87,"NA",Data!$N$2:$N$87,"Very High")</f>
        <v>0</v>
      </c>
      <c r="X4" s="14">
        <f>countifs(Data!$D$2:$D$87,"2008",Data!$A$2:$A$87,"NA",Data!$N$2:$N$87,"High")</f>
        <v>10</v>
      </c>
      <c r="Y4" s="15">
        <f t="shared" si="6"/>
        <v>10</v>
      </c>
      <c r="Z4" s="15">
        <f>countifs(Data!$D$2:$D$87,"2008",Data!$A$2:$A$87,"NA",Data!$N$2:$N$87,"Medium")</f>
        <v>1</v>
      </c>
      <c r="AA4" s="15">
        <f t="shared" si="7"/>
        <v>0</v>
      </c>
      <c r="AB4" s="14">
        <f>countifs(Data!$D$2:$D$87,"2008",Data!$A$2:$A$87,"NA",Data!$N$2:$N$87,"Low")</f>
        <v>0</v>
      </c>
      <c r="AC4" s="14">
        <f>countifs(Data!$D$2:$D$87,"2008",Data!$A$2:$A$87,"NA",Data!$N$2:$N$87,"Very Low")</f>
        <v>0</v>
      </c>
      <c r="AD4" s="14">
        <f>countifs(Data!$D$2:$D$87,"2008",Data!$A$2:$A$87,"NA",Data!$N$2:$N$87,"None")</f>
        <v>0</v>
      </c>
      <c r="AE4" s="14">
        <f t="shared" si="8"/>
        <v>11</v>
      </c>
    </row>
    <row r="5">
      <c r="A5" s="1">
        <v>2013.0</v>
      </c>
      <c r="B5" s="14">
        <f>countifs(Data!$D$2:$D$87,"2013")</f>
        <v>12</v>
      </c>
      <c r="C5" s="14">
        <f>countifs(Data!$D4:$D89,"2008",Data!$A4:$A89,"NA")</f>
        <v>12</v>
      </c>
      <c r="D5" s="14">
        <f>countifs(Data!$D$2:$D$87,"2013",Data!$A$2:$A$87,"KP")</f>
        <v>0</v>
      </c>
      <c r="E5" s="14">
        <f>countifs(Data!$D$2:$D$87,"2013",Data!$A$2:$A$87,"NA",Data!$J$2:$J$87,"Very High")</f>
        <v>1</v>
      </c>
      <c r="F5" s="14">
        <f>countifs(Data!$D$2:$D$87,"2013",Data!$A$2:$A$87,"NA",Data!$J$2:$J$87,"High")</f>
        <v>1</v>
      </c>
      <c r="G5" s="15">
        <f t="shared" si="1"/>
        <v>2</v>
      </c>
      <c r="H5" s="15">
        <f>countifs(Data!$D$2:$D$87,"2013",Data!$A$2:$A$87,"NA",Data!$J$2:$J$87,"Medium")</f>
        <v>0</v>
      </c>
      <c r="I5" s="15">
        <f t="shared" si="9"/>
        <v>9</v>
      </c>
      <c r="J5" s="14">
        <f>countifs(Data!$D$2:$D$87,"2013",Data!$A$2:$A$87,"NA",Data!$J$2:$J$87,"Low")</f>
        <v>1</v>
      </c>
      <c r="K5" s="14">
        <f>countifs(Data!$D$2:$D$87,"2013",Data!$A$2:$A$87,"NA",Data!$J$2:$J$87,"Very Low")</f>
        <v>8</v>
      </c>
      <c r="L5" s="14">
        <f>countifs(Data!$D$2:$D$87,"2013",Data!$A$2:$A$87,"NA",Data!$J$2:$J$87,"None")</f>
        <v>0</v>
      </c>
      <c r="M5" s="14">
        <f t="shared" si="2"/>
        <v>11</v>
      </c>
      <c r="N5" s="14">
        <f>countifs(Data!$D$2:$D$87,"2013",Data!$A$2:$A$87,"NA",Data!$L$2:$L$87,"Very High")</f>
        <v>2</v>
      </c>
      <c r="O5" s="14">
        <f>countifs(Data!$D$2:$D$87,"2013",Data!$A$2:$A$87,"NA",Data!$L$2:$L$87,"High")</f>
        <v>1</v>
      </c>
      <c r="P5" s="15">
        <f t="shared" si="3"/>
        <v>3</v>
      </c>
      <c r="Q5" s="15">
        <f>countifs(Data!$D$2:$D$87,"2013",Data!$A$2:$A$87,"NA",Data!$L$2:$L$87,"Medium")</f>
        <v>0</v>
      </c>
      <c r="R5" s="15">
        <f t="shared" si="4"/>
        <v>8</v>
      </c>
      <c r="S5" s="14">
        <f>countifs(Data!$D$2:$D$87,"2013",Data!$A$2:$A$87,"NA",Data!$L$2:$L$87,"Low")</f>
        <v>5</v>
      </c>
      <c r="T5" s="14">
        <f>countifs(Data!$D$2:$D$87,"2013",Data!$A$2:$A$87,"NA",Data!$L$2:$L$87,"Very Low")</f>
        <v>0</v>
      </c>
      <c r="U5" s="14">
        <f>countifs(Data!$D$2:$D$87,"2013",Data!$A$2:$A$87,"NA",Data!$L$2:$L$87,"None")</f>
        <v>3</v>
      </c>
      <c r="V5" s="14">
        <f t="shared" si="5"/>
        <v>11</v>
      </c>
      <c r="W5" s="14">
        <f>countifs(Data!$D$2:$D$87,"2013",Data!$A$2:$A$87,"NA",Data!$N$2:$N$87,"Very High")</f>
        <v>1</v>
      </c>
      <c r="X5" s="14">
        <f>countifs(Data!$D$2:$D$87,"2013",Data!$A$2:$A$87,"NA",Data!$N$2:$N$87,"High")</f>
        <v>8</v>
      </c>
      <c r="Y5" s="15">
        <f t="shared" si="6"/>
        <v>9</v>
      </c>
      <c r="Z5" s="15">
        <f>countifs(Data!$D$2:$D$87,"2013",Data!$A$2:$A$87,"NA",Data!$N$2:$N$87,"Medium")</f>
        <v>1</v>
      </c>
      <c r="AA5" s="15">
        <f t="shared" si="7"/>
        <v>1</v>
      </c>
      <c r="AB5" s="14">
        <f>countifs(Data!$D$2:$D$87,"2013",Data!$A$2:$A$87,"NA",Data!$N$2:$N$87,"Low")</f>
        <v>1</v>
      </c>
      <c r="AC5" s="14">
        <f>countifs(Data!$D$2:$D$87,"2013",Data!$A$2:$A$87,"NA",Data!$N$2:$N$87,"Very Low")</f>
        <v>0</v>
      </c>
      <c r="AD5" s="14">
        <f>countifs(Data!$D$2:$D$87,"2013",Data!$A$2:$A$87,"NA",Data!$N$2:$N$87,"None")</f>
        <v>0</v>
      </c>
      <c r="AE5" s="14">
        <f t="shared" si="8"/>
        <v>11</v>
      </c>
    </row>
    <row r="6">
      <c r="A6" s="1">
        <v>2018.0</v>
      </c>
      <c r="B6" s="14">
        <f>countifs(Data!$D$2:$D$87,"2018")</f>
        <v>12</v>
      </c>
      <c r="C6" s="14">
        <f>countifs(Data!$D5:$D90,"2018",Data!$A5:$A90,"NA")</f>
        <v>12</v>
      </c>
      <c r="D6" s="14">
        <f>countifs(Data!$D$2:$D$87,"2018",Data!$A$2:$A$87,"KP")</f>
        <v>0</v>
      </c>
      <c r="E6" s="14">
        <f>countifs(Data!$D$2:$D$87,"2018",Data!$A$2:$A$87,"NA",Data!$J$2:$J$87,"Very High")</f>
        <v>5</v>
      </c>
      <c r="F6" s="14">
        <f>countifs(Data!$D$2:$D$87,"2018",Data!$A$2:$A$87,"NA",Data!$J$2:$J$87,"High")</f>
        <v>1</v>
      </c>
      <c r="G6" s="15">
        <f t="shared" si="1"/>
        <v>6</v>
      </c>
      <c r="H6" s="15">
        <f>countifs(Data!$D$2:$D$87,"2018",Data!$A$2:$A$87,"NA",Data!$J$2:$J$87,"Medium")</f>
        <v>0</v>
      </c>
      <c r="I6" s="15">
        <f t="shared" si="9"/>
        <v>6</v>
      </c>
      <c r="J6" s="14">
        <f>countifs(Data!$D$2:$D$87,"2018",Data!$A$2:$A$87,"NA",Data!$J$2:$J$87,"Low")</f>
        <v>0</v>
      </c>
      <c r="K6" s="14">
        <f>countifs(Data!$D$2:$D$87,"2018",Data!$A$2:$A$87,"NA",Data!$J$2:$J$87,"Very Low")</f>
        <v>6</v>
      </c>
      <c r="L6" s="14">
        <f>countifs(Data!$D$2:$D$87,"2018",Data!$A$2:$A$87,"NA",Data!$J$2:$J$87,"None")</f>
        <v>0</v>
      </c>
      <c r="M6" s="14">
        <f t="shared" si="2"/>
        <v>12</v>
      </c>
      <c r="N6" s="14">
        <f>countifs(Data!$D$2:$D$87,"2018",Data!$A$2:$A$87,"NA",Data!$L$2:$L$87,"Very High")</f>
        <v>0</v>
      </c>
      <c r="O6" s="14">
        <f>countifs(Data!$D$2:$D$87,"2018",Data!$A$2:$A$87,"NA",Data!$L$2:$L$87,"High")</f>
        <v>0</v>
      </c>
      <c r="P6" s="15">
        <f t="shared" si="3"/>
        <v>0</v>
      </c>
      <c r="Q6" s="15">
        <f>countifs(Data!$D$2:$D$87,"2018",Data!$A$2:$A$87,"NA",Data!$L$2:$L$87,"Medium")</f>
        <v>3</v>
      </c>
      <c r="R6" s="15">
        <f t="shared" si="4"/>
        <v>9</v>
      </c>
      <c r="S6" s="14">
        <f>countifs(Data!$D$2:$D$87,"2018",Data!$A$2:$A$87,"NA",Data!$L$2:$L$87,"Low")</f>
        <v>2</v>
      </c>
      <c r="T6" s="14">
        <f>countifs(Data!$D$2:$D$87,"2018",Data!$A$2:$A$87,"NA",Data!$L$2:$L$87,"Very Low")</f>
        <v>0</v>
      </c>
      <c r="U6" s="14">
        <f>countifs(Data!$D$2:$D$87,"2018",Data!$A$2:$A$87,"NA",Data!$L$2:$L$87,"None")</f>
        <v>7</v>
      </c>
      <c r="V6" s="14">
        <f t="shared" si="5"/>
        <v>12</v>
      </c>
      <c r="W6" s="14">
        <f>countifs(Data!$D$2:$D$87,"2018",Data!$A$2:$A$87,"NA",Data!$N$2:$N$87,"Very High")</f>
        <v>0</v>
      </c>
      <c r="X6" s="14">
        <f>countifs(Data!$D$2:$D$87,"2018",Data!$A$2:$A$87,"NA",Data!$N$2:$N$87,"High")</f>
        <v>2</v>
      </c>
      <c r="Y6" s="15">
        <f t="shared" si="6"/>
        <v>2</v>
      </c>
      <c r="Z6" s="15">
        <f>countifs(Data!$D$2:$D$87,"2018",Data!$A$2:$A$87,"NA",Data!$N$2:$N$87,"Medium")</f>
        <v>6</v>
      </c>
      <c r="AA6" s="15">
        <f t="shared" si="7"/>
        <v>4</v>
      </c>
      <c r="AB6" s="14">
        <f>countifs(Data!$D$2:$D$87,"2018",Data!$A$2:$A$87,"NA",Data!$N$2:$N$87,"Low")</f>
        <v>4</v>
      </c>
      <c r="AC6" s="14">
        <f>countifs(Data!$D$2:$D$87,"2018",Data!$A$2:$A$87,"NA",Data!$N$2:$N$87,"Very Low")</f>
        <v>0</v>
      </c>
      <c r="AD6" s="14">
        <f>countifs(Data!$D$2:$D$87,"2018",Data!$A$2:$A$87,"NA",Data!$N$2:$N$87,"None")</f>
        <v>0</v>
      </c>
      <c r="AE6" s="14">
        <f t="shared" si="8"/>
        <v>12</v>
      </c>
    </row>
    <row r="7">
      <c r="A7" s="1">
        <v>2024.0</v>
      </c>
      <c r="B7" s="14">
        <f>countifs(Data!$D$2:$D$87,"2018")</f>
        <v>12</v>
      </c>
      <c r="C7" s="14">
        <f>countifs(Data!$D6:$D91,"2024",Data!$A6:$A91,"NA")</f>
        <v>6</v>
      </c>
      <c r="D7" s="14">
        <f>countifs(Data!$D$2:$D$87,"2024",Data!$A$2:$A$87,"KP")</f>
        <v>16</v>
      </c>
      <c r="E7" s="14">
        <f>countifs(Data!$D$2:$D$87,"2024",Data!$A$2:$A$87,"NA",Data!$J$2:$J$87,"Very High")</f>
        <v>0</v>
      </c>
      <c r="F7" s="14">
        <f>countifs(Data!$D$2:$D$87,"2024",Data!$A$2:$A$87,"NA",Data!$J$2:$J$87,"High")</f>
        <v>2</v>
      </c>
      <c r="G7" s="15">
        <f t="shared" si="1"/>
        <v>2</v>
      </c>
      <c r="H7" s="15">
        <f>countifs(Data!$D$2:$D$87,"2024",Data!$A$2:$A$87,"NA",Data!$J$2:$J$87,"Medium")</f>
        <v>0</v>
      </c>
      <c r="I7" s="15">
        <f t="shared" si="9"/>
        <v>3</v>
      </c>
      <c r="J7" s="14">
        <f>countifs(Data!$D$2:$D$87,"2024",Data!$A$2:$A$87,"NA",Data!$J$2:$J$87,"Low")</f>
        <v>0</v>
      </c>
      <c r="K7" s="14">
        <f>countifs(Data!$D$2:$D$87,"2024",Data!$A$2:$A$87,"NA",Data!$J$2:$J$87,"Very Low")</f>
        <v>3</v>
      </c>
      <c r="L7" s="14">
        <f>countifs(Data!$D$2:$D$87,"2024",Data!$A$2:$A$87,"NA",Data!$J$2:$J$87,"None")</f>
        <v>0</v>
      </c>
      <c r="M7" s="14">
        <f t="shared" si="2"/>
        <v>5</v>
      </c>
      <c r="N7" s="14">
        <f>countifs(Data!$D$2:$D$87,"2024",Data!$A$2:$A$87,"NA",Data!$L$2:$L$87,"Very High")</f>
        <v>0</v>
      </c>
      <c r="O7" s="14">
        <f>countifs(Data!$D$2:$D$87,"2024",Data!$A$2:$A$87,"NA",Data!$L$2:$L$87,"High")</f>
        <v>0</v>
      </c>
      <c r="P7" s="15">
        <f t="shared" si="3"/>
        <v>0</v>
      </c>
      <c r="Q7" s="15">
        <f>countifs(Data!$D$2:$D$87,"2024",Data!$A$2:$A$87,"NA",Data!$L$2:$L$87,"Medium")</f>
        <v>0</v>
      </c>
      <c r="R7" s="15">
        <f t="shared" si="4"/>
        <v>5</v>
      </c>
      <c r="S7" s="14">
        <f>countifs(Data!$D$2:$D$87,"2024",Data!$A$2:$A$87,"NA",Data!$L$2:$L$87,"Low")</f>
        <v>0</v>
      </c>
      <c r="T7" s="14">
        <f>countifs(Data!$D$2:$D$87,"2024",Data!$A$2:$A$87,"NA",Data!$L$2:$L$87,"Very Low")</f>
        <v>0</v>
      </c>
      <c r="U7" s="14">
        <f>countifs(Data!$D$2:$D$87,"2024",Data!$A$2:$A$87,"NA",Data!$L$2:$L$87,"None")</f>
        <v>5</v>
      </c>
      <c r="V7" s="14">
        <f t="shared" si="5"/>
        <v>5</v>
      </c>
      <c r="W7" s="14">
        <f>countifs(Data!$D$2:$D$87,"2024",Data!$A$2:$A$87,"NA",Data!$N$2:$N$87,"Very High")</f>
        <v>0</v>
      </c>
      <c r="X7" s="14">
        <f>countifs(Data!$D$2:$D$87,"2024",Data!$A$2:$A$87,"NA",Data!$N$2:$N$87,"High")</f>
        <v>0</v>
      </c>
      <c r="Y7" s="15">
        <f t="shared" si="6"/>
        <v>0</v>
      </c>
      <c r="Z7" s="15">
        <f>countifs(Data!$D$2:$D$87,"2024",Data!$A$2:$A$87,"NA",Data!$N$2:$N$87,"Medium")</f>
        <v>4</v>
      </c>
      <c r="AA7" s="15">
        <f t="shared" si="7"/>
        <v>1</v>
      </c>
      <c r="AB7" s="14">
        <f>countifs(Data!$D$2:$D$87,"2024",Data!$A$2:$A$87,"NA",Data!$N$2:$N$87,"Low")</f>
        <v>1</v>
      </c>
      <c r="AC7" s="14">
        <f>countifs(Data!$D$2:$D$87,"2024",Data!$A$2:$A$87,"NA",Data!$N$2:$N$87,"Very Low")</f>
        <v>0</v>
      </c>
      <c r="AD7" s="14">
        <f>countifs(Data!$D$2:$D$87,"2024",Data!$A$2:$A$87,"NA",Data!$N$2:$N$87,"None")</f>
        <v>0</v>
      </c>
      <c r="AE7" s="14">
        <f t="shared" si="8"/>
        <v>5</v>
      </c>
    </row>
    <row r="8">
      <c r="A8" s="1"/>
      <c r="G8" s="15"/>
      <c r="H8" s="15"/>
      <c r="I8" s="15"/>
      <c r="M8" s="14">
        <f t="shared" si="2"/>
        <v>0</v>
      </c>
      <c r="P8" s="15"/>
      <c r="Q8" s="15"/>
      <c r="R8" s="15"/>
      <c r="V8" s="14">
        <f t="shared" si="5"/>
        <v>0</v>
      </c>
      <c r="Y8" s="15"/>
      <c r="Z8" s="15"/>
      <c r="AA8" s="15"/>
      <c r="AE8" s="14">
        <f t="shared" si="8"/>
        <v>0</v>
      </c>
    </row>
    <row r="9">
      <c r="G9" s="6"/>
      <c r="H9" s="6" t="s">
        <v>7</v>
      </c>
      <c r="I9" s="5"/>
      <c r="M9" s="14">
        <f t="shared" si="2"/>
        <v>0</v>
      </c>
      <c r="P9" s="6"/>
      <c r="Q9" s="6" t="s">
        <v>7</v>
      </c>
      <c r="R9" s="6"/>
      <c r="V9" s="14">
        <f t="shared" si="5"/>
        <v>0</v>
      </c>
      <c r="Y9" s="6"/>
      <c r="Z9" s="6" t="s">
        <v>7</v>
      </c>
      <c r="AA9" s="6"/>
      <c r="AE9" s="14">
        <f t="shared" si="8"/>
        <v>0</v>
      </c>
    </row>
    <row r="10">
      <c r="A10" s="1">
        <v>2019.0</v>
      </c>
      <c r="B10" s="14">
        <f>countifs(Data!$D$2:$D$87,"2019",Data!$A$2:$A$87,"KP")</f>
        <v>16</v>
      </c>
      <c r="C10" s="14">
        <f>countifs(Data!$D$2:$D$87,"2019",Data!$A$2:$A$87,"NA")</f>
        <v>0</v>
      </c>
      <c r="D10" s="14">
        <f>countifs(Data!$D$2:$D$87,"2019",Data!$A$2:$A$87,"KP")</f>
        <v>16</v>
      </c>
      <c r="E10" s="14">
        <f>countifs(Data!$D$2:$D$87,"2019",Data!$A$2:$A$87,"KP",Data!$J$2:$J$87,"Very High")</f>
        <v>2</v>
      </c>
      <c r="F10" s="14">
        <f>countifs(Data!$D$2:$D$87,"2019",Data!$A$2:$A$87,"KP",Data!$J$2:$J$87,"High")</f>
        <v>2</v>
      </c>
      <c r="G10" s="15">
        <f t="shared" ref="G10:G11" si="10">SUM(E10:F10)</f>
        <v>4</v>
      </c>
      <c r="H10" s="15">
        <f>countifs(Data!$D$2:$D$87,"2019",Data!$A$2:$A$87,"KP",Data!$J$2:$J$87,"Medium")</f>
        <v>0</v>
      </c>
      <c r="I10" s="15">
        <f t="shared" ref="I10:I11" si="11">SUM(J10:K10)</f>
        <v>12</v>
      </c>
      <c r="J10" s="14">
        <f>countifs(Data!$D$2:$D$87,"2019",Data!$A$2:$A$87,"KP",Data!$J$2:$J$87,"Low")</f>
        <v>5</v>
      </c>
      <c r="K10" s="14">
        <f>countifs(Data!$D$2:$D$87,"2019",Data!$A$2:$A$87,"KP",Data!$J$2:$J$87,"Very Low")</f>
        <v>7</v>
      </c>
      <c r="L10" s="14">
        <f>countifs(Data!$D$2:$D$87,"2019",Data!$A$2:$A$87,"KP",Data!$J$2:$J$87,"None")</f>
        <v>0</v>
      </c>
      <c r="M10" s="14">
        <f t="shared" si="2"/>
        <v>16</v>
      </c>
      <c r="N10" s="14">
        <f>countifs(Data!$D$2:$D$87,"2019",Data!$A$2:$A$87,"KP",Data!$L$2:$L$87,"Very High")</f>
        <v>2</v>
      </c>
      <c r="O10" s="14">
        <f>countifs(Data!$D$2:$D$87,"2019",Data!$A$2:$A$87,"KP",Data!$L$2:$L$87,"High")</f>
        <v>4</v>
      </c>
      <c r="P10" s="15">
        <f t="shared" ref="P10:P11" si="12">SUM(N10:O10)</f>
        <v>6</v>
      </c>
      <c r="Q10" s="15">
        <f>countifs(Data!$D$2:$D$87,"2019",Data!$A$2:$A$87,"KP",Data!$L$2:$L$87,"Medium")</f>
        <v>2</v>
      </c>
      <c r="R10" s="15">
        <f t="shared" ref="R10:R11" si="13">SUM(S10:U10)</f>
        <v>8</v>
      </c>
      <c r="S10" s="14">
        <f>countifs(Data!$D$2:$D$87,"2019",Data!$A$2:$A$87,"KP",Data!$L$2:$L$87,"Low")</f>
        <v>3</v>
      </c>
      <c r="T10" s="14">
        <f>countifs(Data!$D$2:$D$87,"2019",Data!$A$2:$A$87,"KP",Data!$L$2:$L$87,"Very Low")</f>
        <v>0</v>
      </c>
      <c r="U10" s="14">
        <f>countifs(Data!$D$2:$D$87,"2019",Data!$A$2:$A$87,"KP",Data!$L$2:$L$87,"None")</f>
        <v>5</v>
      </c>
      <c r="V10" s="14">
        <f t="shared" si="5"/>
        <v>16</v>
      </c>
      <c r="W10" s="14">
        <f>countifs(Data!$D$2:$D$87,"2019",Data!$A$2:$A$87,"KP",Data!$N$2:$N$87,"Very High")</f>
        <v>2</v>
      </c>
      <c r="X10" s="14">
        <f>countifs(Data!$D$2:$D$87,"2019",Data!$A$2:$A$87,"KP",Data!$N$2:$N$87,"High")</f>
        <v>9</v>
      </c>
      <c r="Y10" s="15">
        <f t="shared" ref="Y10:Y11" si="14">SUM(W10:X10)</f>
        <v>11</v>
      </c>
      <c r="Z10" s="15">
        <f>countifs(Data!$D$2:$D$87,"2019",Data!$A$2:$A$87,"KP",Data!$N$2:$N$87,"Medium")</f>
        <v>2</v>
      </c>
      <c r="AA10" s="15">
        <f t="shared" ref="AA10:AA11" si="15">SUM(AB10:AD10)</f>
        <v>3</v>
      </c>
      <c r="AB10" s="14">
        <f>countifs(Data!$D$2:$D$87,"2019",Data!$A$2:$A$87,"KP",Data!$N$2:$N$87,"Low")</f>
        <v>3</v>
      </c>
      <c r="AC10" s="14">
        <f>countifs(Data!$D$2:$D$87,"2019",Data!$A$2:$A$87,"KP",Data!$N$2:$N$87,"Very Low")</f>
        <v>0</v>
      </c>
      <c r="AD10" s="14">
        <f>countifs(Data!$D$2:$D$87,"2019",Data!$A$2:$A$87,"KP",Data!$N$2:$N$87,"None")</f>
        <v>0</v>
      </c>
      <c r="AE10" s="14">
        <f t="shared" si="8"/>
        <v>16</v>
      </c>
    </row>
    <row r="11">
      <c r="A11" s="1">
        <v>2024.0</v>
      </c>
      <c r="C11" s="14">
        <f>countifs(Data!$D$2:$D$87,"2024",Data!$A$2:$A$87,"NA")</f>
        <v>6</v>
      </c>
      <c r="D11" s="14">
        <f>countifs(Data!$D$2:$D$87,"2024",Data!$A$2:$A$87,"KP")</f>
        <v>16</v>
      </c>
      <c r="E11" s="14">
        <f>countifs(Data!$D$2:$D$87,"2024",Data!$A$2:$A$87,"KP",Data!$J$2:$J$87,"Very High")</f>
        <v>1</v>
      </c>
      <c r="F11" s="14">
        <f>countifs(Data!$D$2:$D$87,"2024",Data!$A$2:$A$87,"KP",Data!$J$2:$J$87,"High")</f>
        <v>2</v>
      </c>
      <c r="G11" s="15">
        <f t="shared" si="10"/>
        <v>3</v>
      </c>
      <c r="H11" s="15">
        <f>countifs(Data!$D$2:$D$87,"2024",Data!$A$2:$A$87,"KP",Data!$J$2:$J$87,"Medium")</f>
        <v>1</v>
      </c>
      <c r="I11" s="15">
        <f t="shared" si="11"/>
        <v>11</v>
      </c>
      <c r="J11" s="14">
        <f>countifs(Data!$D$2:$D$87,"2024",Data!$A$2:$A$87,"KP",Data!$J$2:$J$87,"Low")</f>
        <v>3</v>
      </c>
      <c r="K11" s="14">
        <f>countifs(Data!$D$2:$D$87,"2024",Data!$A$2:$A$87,"KP",Data!$J$2:$J$87,"Very Low")</f>
        <v>8</v>
      </c>
      <c r="L11" s="14">
        <f>countifs(Data!$D$2:$D$87,"2024",Data!$A$2:$A$87,"KP",Data!$J$2:$J$87,"None")</f>
        <v>0</v>
      </c>
      <c r="M11" s="14">
        <f t="shared" si="2"/>
        <v>15</v>
      </c>
      <c r="N11" s="14">
        <f>countifs(Data!$D$2:$D$87,"2024",Data!$A$2:$A$87,"KP",Data!$L$2:$L$87,"Very High")</f>
        <v>0</v>
      </c>
      <c r="O11" s="14">
        <f>countifs(Data!$D$2:$D$87,"2024",Data!$A$2:$A$87,"KP",Data!$L$2:$L$87,"High")</f>
        <v>0</v>
      </c>
      <c r="P11" s="15">
        <f t="shared" si="12"/>
        <v>0</v>
      </c>
      <c r="Q11" s="15">
        <f>countifs(Data!$D$2:$D$87,"2024",Data!$A$2:$A$87,"KP",Data!$L$2:$L$87,"Medium")</f>
        <v>1</v>
      </c>
      <c r="R11" s="15">
        <f t="shared" si="13"/>
        <v>14</v>
      </c>
      <c r="S11" s="14">
        <f>countifs(Data!$D$2:$D$87,"2024",Data!$A$2:$A$87,"KP",Data!$L$2:$L$87,"Low")</f>
        <v>1</v>
      </c>
      <c r="T11" s="14">
        <f>countifs(Data!$D$2:$D$87,"2024",Data!$A$2:$A$87,"KP",Data!$L$2:$L$87,"Very Low")</f>
        <v>0</v>
      </c>
      <c r="U11" s="14">
        <f>countifs(Data!$D$2:$D$87,"2024",Data!$A$2:$A$87,"KP",Data!$L$2:$L$87,"None")</f>
        <v>13</v>
      </c>
      <c r="V11" s="14">
        <f t="shared" si="5"/>
        <v>15</v>
      </c>
      <c r="W11" s="14">
        <f>countifs(Data!$D$2:$D$87,"2024",Data!$A$2:$A$87,"KP",Data!$N$2:$N$87,"Very High")</f>
        <v>0</v>
      </c>
      <c r="X11" s="14">
        <f>countifs(Data!$D$2:$D$87,"2024",Data!$A$2:$A$87,"KP",Data!$N$2:$N$87,"High")</f>
        <v>9</v>
      </c>
      <c r="Y11" s="15">
        <f t="shared" si="14"/>
        <v>9</v>
      </c>
      <c r="Z11" s="15">
        <f>countifs(Data!$D$2:$D$87,"2024",Data!$A$2:$A$87,"KP",Data!$N$2:$N$87,"Medium")</f>
        <v>5</v>
      </c>
      <c r="AA11" s="15">
        <f t="shared" si="15"/>
        <v>1</v>
      </c>
      <c r="AB11" s="14">
        <f>countifs(Data!$D$2:$D$87,"2024",Data!$A$2:$A$87,"KP",Data!$N$2:$N$87,"Low")</f>
        <v>1</v>
      </c>
      <c r="AC11" s="14">
        <f>countifs(Data!$D$2:$D$87,"2024",Data!$A$2:$A$87,"KP",Data!$N$2:$N$87,"Very Low")</f>
        <v>0</v>
      </c>
      <c r="AD11" s="14">
        <f>countifs(Data!$D$2:$D$87,"2024",Data!$A$2:$A$87,"KP",Data!$N$2:$N$87,"None")</f>
        <v>0</v>
      </c>
      <c r="AE11" s="14">
        <f t="shared" si="8"/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2.57"/>
    <col customWidth="1" min="2" max="2" width="26.29"/>
    <col customWidth="1" min="3" max="3" width="15.71"/>
    <col customWidth="1" min="4" max="4" width="8.86"/>
    <col customWidth="1" min="5" max="5" width="26.86"/>
    <col customWidth="1" min="6" max="6" width="13.14"/>
    <col customWidth="1" min="7" max="7" width="16.57"/>
    <col customWidth="1" min="8" max="9" width="15.86"/>
    <col customWidth="1" min="10" max="10" width="16.14"/>
    <col customWidth="1" min="11" max="11" width="17.43"/>
    <col customWidth="1" min="12" max="12" width="14.86"/>
    <col customWidth="1" min="13" max="13" width="13.86"/>
    <col customWidth="1" min="14" max="15" width="11.86"/>
    <col customWidth="1" min="16" max="27" width="8.71"/>
  </cols>
  <sheetData>
    <row r="1" ht="14.25" customHeight="1">
      <c r="A1" s="18" t="s">
        <v>23</v>
      </c>
      <c r="B1" s="19" t="s">
        <v>24</v>
      </c>
      <c r="C1" s="20" t="s">
        <v>25</v>
      </c>
      <c r="D1" s="18" t="s">
        <v>4</v>
      </c>
      <c r="E1" s="21" t="s">
        <v>26</v>
      </c>
      <c r="F1" s="18" t="s">
        <v>27</v>
      </c>
      <c r="G1" s="21" t="s">
        <v>28</v>
      </c>
      <c r="H1" s="18" t="s">
        <v>29</v>
      </c>
      <c r="I1" s="18" t="s">
        <v>2</v>
      </c>
      <c r="J1" s="18" t="s">
        <v>30</v>
      </c>
      <c r="K1" s="18" t="s">
        <v>31</v>
      </c>
      <c r="L1" s="22" t="s">
        <v>21</v>
      </c>
      <c r="M1" s="22" t="s">
        <v>32</v>
      </c>
      <c r="N1" s="23" t="s">
        <v>22</v>
      </c>
      <c r="O1" s="18" t="s">
        <v>33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14.25" customHeight="1">
      <c r="A2" s="25" t="s">
        <v>6</v>
      </c>
      <c r="B2" s="26" t="s">
        <v>34</v>
      </c>
      <c r="C2" s="27" t="s">
        <v>35</v>
      </c>
      <c r="D2" s="25">
        <v>2002.0</v>
      </c>
      <c r="E2" s="28" t="s">
        <v>36</v>
      </c>
      <c r="F2" s="25" t="s">
        <v>37</v>
      </c>
      <c r="G2" s="25" t="s">
        <v>14</v>
      </c>
      <c r="H2" s="25" t="s">
        <v>17</v>
      </c>
      <c r="I2" s="25" t="s">
        <v>13</v>
      </c>
      <c r="J2" s="25" t="s">
        <v>8</v>
      </c>
      <c r="K2" s="27" t="s">
        <v>38</v>
      </c>
      <c r="L2" s="25" t="s">
        <v>15</v>
      </c>
      <c r="M2" s="25" t="s">
        <v>15</v>
      </c>
      <c r="N2" s="25" t="s">
        <v>13</v>
      </c>
      <c r="O2" s="25" t="s">
        <v>15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14.25" customHeight="1">
      <c r="A3" s="25" t="s">
        <v>6</v>
      </c>
      <c r="B3" s="26" t="s">
        <v>39</v>
      </c>
      <c r="C3" s="27" t="s">
        <v>35</v>
      </c>
      <c r="D3" s="25">
        <v>2002.0</v>
      </c>
      <c r="E3" s="25" t="s">
        <v>40</v>
      </c>
      <c r="F3" s="25" t="s">
        <v>37</v>
      </c>
      <c r="G3" s="25" t="s">
        <v>9</v>
      </c>
      <c r="H3" s="25" t="s">
        <v>16</v>
      </c>
      <c r="I3" s="25" t="s">
        <v>13</v>
      </c>
      <c r="J3" s="25" t="s">
        <v>8</v>
      </c>
      <c r="K3" s="27" t="s">
        <v>41</v>
      </c>
      <c r="L3" s="25" t="s">
        <v>15</v>
      </c>
      <c r="M3" s="25" t="s">
        <v>15</v>
      </c>
      <c r="N3" s="25" t="s">
        <v>9</v>
      </c>
      <c r="O3" s="25" t="s">
        <v>15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14.25" customHeight="1">
      <c r="A4" s="25" t="s">
        <v>6</v>
      </c>
      <c r="B4" s="26" t="s">
        <v>42</v>
      </c>
      <c r="C4" s="27" t="s">
        <v>43</v>
      </c>
      <c r="D4" s="25">
        <v>2002.0</v>
      </c>
      <c r="E4" s="28" t="s">
        <v>44</v>
      </c>
      <c r="F4" s="25" t="s">
        <v>37</v>
      </c>
      <c r="G4" s="25" t="s">
        <v>14</v>
      </c>
      <c r="H4" s="25" t="s">
        <v>17</v>
      </c>
      <c r="I4" s="25" t="s">
        <v>13</v>
      </c>
      <c r="J4" s="25" t="s">
        <v>8</v>
      </c>
      <c r="K4" s="27" t="s">
        <v>38</v>
      </c>
      <c r="L4" s="25" t="s">
        <v>15</v>
      </c>
      <c r="M4" s="25" t="s">
        <v>15</v>
      </c>
      <c r="N4" s="25" t="s">
        <v>14</v>
      </c>
      <c r="O4" s="25" t="s">
        <v>15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ht="14.25" customHeight="1">
      <c r="A5" s="25" t="s">
        <v>6</v>
      </c>
      <c r="B5" s="26" t="s">
        <v>45</v>
      </c>
      <c r="C5" s="27" t="s">
        <v>46</v>
      </c>
      <c r="D5" s="25">
        <v>2002.0</v>
      </c>
      <c r="E5" s="27" t="s">
        <v>47</v>
      </c>
      <c r="F5" s="25" t="s">
        <v>37</v>
      </c>
      <c r="G5" s="25" t="s">
        <v>9</v>
      </c>
      <c r="H5" s="25" t="s">
        <v>16</v>
      </c>
      <c r="I5" s="25" t="s">
        <v>13</v>
      </c>
      <c r="J5" s="25" t="s">
        <v>8</v>
      </c>
      <c r="K5" s="27" t="s">
        <v>38</v>
      </c>
      <c r="L5" s="27" t="s">
        <v>13</v>
      </c>
      <c r="M5" s="27" t="s">
        <v>13</v>
      </c>
      <c r="N5" s="25" t="s">
        <v>9</v>
      </c>
      <c r="O5" s="25" t="s">
        <v>11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14.25" customHeight="1">
      <c r="A6" s="25" t="s">
        <v>6</v>
      </c>
      <c r="B6" s="26" t="s">
        <v>48</v>
      </c>
      <c r="C6" s="27" t="s">
        <v>46</v>
      </c>
      <c r="D6" s="25">
        <v>2002.0</v>
      </c>
      <c r="E6" s="27" t="s">
        <v>49</v>
      </c>
      <c r="F6" s="25" t="s">
        <v>37</v>
      </c>
      <c r="G6" s="25" t="s">
        <v>13</v>
      </c>
      <c r="H6" s="25" t="s">
        <v>17</v>
      </c>
      <c r="I6" s="25" t="s">
        <v>13</v>
      </c>
      <c r="J6" s="25" t="s">
        <v>8</v>
      </c>
      <c r="K6" s="27" t="s">
        <v>38</v>
      </c>
      <c r="L6" s="25" t="s">
        <v>13</v>
      </c>
      <c r="M6" s="25" t="s">
        <v>15</v>
      </c>
      <c r="N6" s="25" t="s">
        <v>13</v>
      </c>
      <c r="O6" s="25" t="s">
        <v>13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16.5" customHeight="1">
      <c r="A7" s="25" t="s">
        <v>6</v>
      </c>
      <c r="B7" s="29" t="s">
        <v>50</v>
      </c>
      <c r="C7" s="27" t="s">
        <v>51</v>
      </c>
      <c r="D7" s="25">
        <v>2002.0</v>
      </c>
      <c r="E7" s="30" t="s">
        <v>52</v>
      </c>
      <c r="F7" s="25" t="s">
        <v>37</v>
      </c>
      <c r="G7" s="25" t="s">
        <v>9</v>
      </c>
      <c r="H7" s="25" t="s">
        <v>16</v>
      </c>
      <c r="I7" s="25" t="s">
        <v>13</v>
      </c>
      <c r="J7" s="25" t="s">
        <v>8</v>
      </c>
      <c r="K7" s="27" t="s">
        <v>53</v>
      </c>
      <c r="L7" s="25" t="s">
        <v>13</v>
      </c>
      <c r="M7" s="25" t="s">
        <v>14</v>
      </c>
      <c r="N7" s="25" t="s">
        <v>9</v>
      </c>
      <c r="O7" s="25" t="s">
        <v>8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14.25" customHeight="1">
      <c r="A8" s="25" t="s">
        <v>6</v>
      </c>
      <c r="B8" s="29" t="s">
        <v>54</v>
      </c>
      <c r="C8" s="27" t="s">
        <v>51</v>
      </c>
      <c r="D8" s="25">
        <v>2002.0</v>
      </c>
      <c r="E8" s="25" t="s">
        <v>55</v>
      </c>
      <c r="F8" s="25" t="s">
        <v>37</v>
      </c>
      <c r="G8" s="25" t="s">
        <v>13</v>
      </c>
      <c r="H8" s="25" t="s">
        <v>17</v>
      </c>
      <c r="I8" s="25" t="s">
        <v>13</v>
      </c>
      <c r="J8" s="25" t="s">
        <v>8</v>
      </c>
      <c r="K8" s="27" t="s">
        <v>38</v>
      </c>
      <c r="L8" s="25" t="s">
        <v>11</v>
      </c>
      <c r="M8" s="25" t="s">
        <v>14</v>
      </c>
      <c r="N8" s="25" t="s">
        <v>9</v>
      </c>
      <c r="O8" s="25" t="s">
        <v>13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14.25" customHeight="1">
      <c r="A9" s="25" t="s">
        <v>6</v>
      </c>
      <c r="B9" s="26" t="s">
        <v>56</v>
      </c>
      <c r="C9" s="27" t="s">
        <v>57</v>
      </c>
      <c r="D9" s="25">
        <v>2002.0</v>
      </c>
      <c r="E9" s="27" t="s">
        <v>58</v>
      </c>
      <c r="F9" s="25" t="s">
        <v>37</v>
      </c>
      <c r="G9" s="25" t="s">
        <v>9</v>
      </c>
      <c r="H9" s="25" t="s">
        <v>16</v>
      </c>
      <c r="I9" s="25" t="s">
        <v>9</v>
      </c>
      <c r="J9" s="25" t="s">
        <v>14</v>
      </c>
      <c r="K9" s="25" t="s">
        <v>15</v>
      </c>
      <c r="L9" s="25" t="s">
        <v>15</v>
      </c>
      <c r="M9" s="25" t="s">
        <v>15</v>
      </c>
      <c r="N9" s="25" t="s">
        <v>9</v>
      </c>
      <c r="O9" s="25" t="s">
        <v>9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ht="14.25" customHeight="1">
      <c r="A10" s="25" t="s">
        <v>6</v>
      </c>
      <c r="B10" s="26" t="s">
        <v>59</v>
      </c>
      <c r="C10" s="27" t="s">
        <v>60</v>
      </c>
      <c r="D10" s="25">
        <v>2002.0</v>
      </c>
      <c r="E10" s="27" t="s">
        <v>61</v>
      </c>
      <c r="F10" s="25" t="s">
        <v>37</v>
      </c>
      <c r="G10" s="25" t="s">
        <v>11</v>
      </c>
      <c r="H10" s="25" t="s">
        <v>17</v>
      </c>
      <c r="I10" s="25" t="s">
        <v>13</v>
      </c>
      <c r="J10" s="25" t="s">
        <v>8</v>
      </c>
      <c r="K10" s="25" t="s">
        <v>38</v>
      </c>
      <c r="L10" s="25" t="s">
        <v>15</v>
      </c>
      <c r="M10" s="25" t="s">
        <v>15</v>
      </c>
      <c r="N10" s="25" t="s">
        <v>13</v>
      </c>
      <c r="O10" s="25" t="s">
        <v>11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ht="14.25" customHeight="1">
      <c r="A11" s="25" t="s">
        <v>6</v>
      </c>
      <c r="B11" s="26" t="s">
        <v>62</v>
      </c>
      <c r="C11" s="27" t="s">
        <v>63</v>
      </c>
      <c r="D11" s="25">
        <v>2002.0</v>
      </c>
      <c r="E11" s="27" t="s">
        <v>64</v>
      </c>
      <c r="F11" s="25" t="s">
        <v>37</v>
      </c>
      <c r="G11" s="25" t="s">
        <v>13</v>
      </c>
      <c r="H11" s="25" t="s">
        <v>17</v>
      </c>
      <c r="I11" s="25" t="s">
        <v>13</v>
      </c>
      <c r="J11" s="25" t="s">
        <v>8</v>
      </c>
      <c r="K11" s="25" t="s">
        <v>38</v>
      </c>
      <c r="L11" s="25" t="s">
        <v>15</v>
      </c>
      <c r="M11" s="25" t="s">
        <v>15</v>
      </c>
      <c r="N11" s="25" t="s">
        <v>13</v>
      </c>
      <c r="O11" s="25" t="s">
        <v>13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ht="14.25" customHeight="1">
      <c r="A12" s="25" t="s">
        <v>6</v>
      </c>
      <c r="B12" s="26" t="s">
        <v>65</v>
      </c>
      <c r="C12" s="27" t="s">
        <v>63</v>
      </c>
      <c r="D12" s="25">
        <v>2002.0</v>
      </c>
      <c r="E12" s="27" t="s">
        <v>66</v>
      </c>
      <c r="F12" s="25" t="s">
        <v>37</v>
      </c>
      <c r="G12" s="25" t="s">
        <v>13</v>
      </c>
      <c r="H12" s="25" t="s">
        <v>17</v>
      </c>
      <c r="I12" s="25" t="s">
        <v>13</v>
      </c>
      <c r="J12" s="25" t="s">
        <v>8</v>
      </c>
      <c r="K12" s="25" t="s">
        <v>38</v>
      </c>
      <c r="L12" s="25" t="s">
        <v>15</v>
      </c>
      <c r="M12" s="25" t="s">
        <v>15</v>
      </c>
      <c r="N12" s="25" t="s">
        <v>13</v>
      </c>
      <c r="O12" s="25" t="s">
        <v>15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ht="14.25" customHeight="1">
      <c r="A13" s="25" t="s">
        <v>6</v>
      </c>
      <c r="B13" s="26" t="s">
        <v>67</v>
      </c>
      <c r="C13" s="27" t="s">
        <v>68</v>
      </c>
      <c r="D13" s="25">
        <v>2002.0</v>
      </c>
      <c r="E13" s="25" t="s">
        <v>69</v>
      </c>
      <c r="F13" s="27" t="s">
        <v>37</v>
      </c>
      <c r="G13" s="25" t="s">
        <v>9</v>
      </c>
      <c r="H13" s="25" t="s">
        <v>16</v>
      </c>
      <c r="I13" s="25" t="s">
        <v>9</v>
      </c>
      <c r="J13" s="25" t="s">
        <v>8</v>
      </c>
      <c r="K13" s="25" t="s">
        <v>38</v>
      </c>
      <c r="L13" s="25" t="s">
        <v>13</v>
      </c>
      <c r="M13" s="25" t="s">
        <v>13</v>
      </c>
      <c r="N13" s="25" t="s">
        <v>9</v>
      </c>
      <c r="O13" s="25" t="s">
        <v>11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ht="14.25" customHeight="1">
      <c r="A14" s="25" t="s">
        <v>6</v>
      </c>
      <c r="B14" s="26" t="s">
        <v>34</v>
      </c>
      <c r="C14" s="27" t="s">
        <v>35</v>
      </c>
      <c r="D14" s="25">
        <v>2008.0</v>
      </c>
      <c r="E14" s="25" t="s">
        <v>70</v>
      </c>
      <c r="F14" s="25" t="s">
        <v>37</v>
      </c>
      <c r="G14" s="25" t="s">
        <v>8</v>
      </c>
      <c r="H14" s="25" t="s">
        <v>16</v>
      </c>
      <c r="I14" s="25" t="s">
        <v>8</v>
      </c>
      <c r="J14" s="27" t="s">
        <v>14</v>
      </c>
      <c r="K14" s="25" t="s">
        <v>15</v>
      </c>
      <c r="L14" s="25" t="s">
        <v>13</v>
      </c>
      <c r="M14" s="25" t="s">
        <v>13</v>
      </c>
      <c r="N14" s="25" t="s">
        <v>9</v>
      </c>
      <c r="O14" s="25" t="s">
        <v>9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ht="14.25" customHeight="1">
      <c r="A15" s="25" t="s">
        <v>6</v>
      </c>
      <c r="B15" s="26" t="s">
        <v>39</v>
      </c>
      <c r="C15" s="27" t="s">
        <v>35</v>
      </c>
      <c r="D15" s="25">
        <v>2008.0</v>
      </c>
      <c r="E15" s="25" t="s">
        <v>71</v>
      </c>
      <c r="F15" s="27" t="s">
        <v>72</v>
      </c>
      <c r="G15" s="25" t="s">
        <v>13</v>
      </c>
      <c r="H15" s="25" t="s">
        <v>17</v>
      </c>
      <c r="I15" s="25" t="s">
        <v>13</v>
      </c>
      <c r="J15" s="25" t="s">
        <v>11</v>
      </c>
      <c r="K15" s="27" t="s">
        <v>53</v>
      </c>
      <c r="L15" s="25" t="s">
        <v>15</v>
      </c>
      <c r="M15" s="25" t="s">
        <v>15</v>
      </c>
      <c r="N15" s="25" t="s">
        <v>11</v>
      </c>
      <c r="O15" s="25" t="s">
        <v>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ht="14.25" customHeight="1">
      <c r="A16" s="25" t="s">
        <v>6</v>
      </c>
      <c r="B16" s="26" t="s">
        <v>42</v>
      </c>
      <c r="C16" s="27" t="s">
        <v>43</v>
      </c>
      <c r="D16" s="25">
        <v>2008.0</v>
      </c>
      <c r="E16" s="27" t="s">
        <v>73</v>
      </c>
      <c r="F16" s="25" t="s">
        <v>37</v>
      </c>
      <c r="G16" s="25" t="s">
        <v>8</v>
      </c>
      <c r="H16" s="25" t="s">
        <v>16</v>
      </c>
      <c r="I16" s="25" t="s">
        <v>8</v>
      </c>
      <c r="J16" s="27" t="s">
        <v>14</v>
      </c>
      <c r="K16" s="25" t="s">
        <v>15</v>
      </c>
      <c r="L16" s="25" t="s">
        <v>13</v>
      </c>
      <c r="M16" s="25" t="s">
        <v>9</v>
      </c>
      <c r="N16" s="25" t="s">
        <v>9</v>
      </c>
      <c r="O16" s="25" t="s">
        <v>9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ht="14.25" customHeight="1">
      <c r="A17" s="25" t="s">
        <v>6</v>
      </c>
      <c r="B17" s="26" t="s">
        <v>45</v>
      </c>
      <c r="C17" s="27" t="s">
        <v>46</v>
      </c>
      <c r="D17" s="25">
        <v>2008.0</v>
      </c>
      <c r="E17" s="27" t="s">
        <v>47</v>
      </c>
      <c r="F17" s="25" t="s">
        <v>37</v>
      </c>
      <c r="G17" s="25" t="s">
        <v>9</v>
      </c>
      <c r="H17" s="25" t="s">
        <v>16</v>
      </c>
      <c r="I17" s="25" t="s">
        <v>13</v>
      </c>
      <c r="J17" s="25" t="s">
        <v>9</v>
      </c>
      <c r="K17" s="27" t="s">
        <v>53</v>
      </c>
      <c r="L17" s="25" t="s">
        <v>11</v>
      </c>
      <c r="M17" s="25" t="s">
        <v>15</v>
      </c>
      <c r="N17" s="25" t="s">
        <v>9</v>
      </c>
      <c r="O17" s="25" t="s">
        <v>9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ht="14.25" customHeight="1">
      <c r="A18" s="25" t="s">
        <v>6</v>
      </c>
      <c r="B18" s="26" t="s">
        <v>48</v>
      </c>
      <c r="C18" s="27" t="s">
        <v>46</v>
      </c>
      <c r="D18" s="25">
        <v>2008.0</v>
      </c>
      <c r="E18" s="27" t="s">
        <v>74</v>
      </c>
      <c r="F18" s="25" t="s">
        <v>37</v>
      </c>
      <c r="G18" s="25" t="s">
        <v>9</v>
      </c>
      <c r="H18" s="25" t="s">
        <v>16</v>
      </c>
      <c r="I18" s="25" t="s">
        <v>9</v>
      </c>
      <c r="J18" s="25" t="s">
        <v>13</v>
      </c>
      <c r="K18" s="25" t="s">
        <v>15</v>
      </c>
      <c r="L18" s="25" t="s">
        <v>11</v>
      </c>
      <c r="M18" s="25" t="s">
        <v>15</v>
      </c>
      <c r="N18" s="25" t="s">
        <v>9</v>
      </c>
      <c r="O18" s="25" t="s">
        <v>9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ht="14.25" customHeight="1">
      <c r="A19" s="25" t="s">
        <v>6</v>
      </c>
      <c r="B19" s="29" t="s">
        <v>50</v>
      </c>
      <c r="C19" s="27" t="s">
        <v>51</v>
      </c>
      <c r="D19" s="25">
        <v>2008.0</v>
      </c>
      <c r="E19" s="31" t="s">
        <v>75</v>
      </c>
      <c r="F19" s="25" t="s">
        <v>37</v>
      </c>
      <c r="G19" s="25" t="s">
        <v>8</v>
      </c>
      <c r="H19" s="25" t="s">
        <v>16</v>
      </c>
      <c r="I19" s="25" t="s">
        <v>8</v>
      </c>
      <c r="J19" s="25" t="s">
        <v>8</v>
      </c>
      <c r="K19" s="25" t="s">
        <v>76</v>
      </c>
      <c r="L19" s="25" t="s">
        <v>13</v>
      </c>
      <c r="M19" s="25" t="s">
        <v>13</v>
      </c>
      <c r="N19" s="25" t="s">
        <v>9</v>
      </c>
      <c r="O19" s="25" t="s">
        <v>9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14.25" customHeight="1">
      <c r="A20" s="25" t="s">
        <v>6</v>
      </c>
      <c r="B20" s="29" t="s">
        <v>54</v>
      </c>
      <c r="C20" s="27" t="s">
        <v>51</v>
      </c>
      <c r="D20" s="25">
        <v>2008.0</v>
      </c>
      <c r="E20" s="25" t="s">
        <v>55</v>
      </c>
      <c r="F20" s="25" t="s">
        <v>37</v>
      </c>
      <c r="G20" s="25" t="s">
        <v>9</v>
      </c>
      <c r="H20" s="25" t="s">
        <v>16</v>
      </c>
      <c r="I20" s="25" t="s">
        <v>13</v>
      </c>
      <c r="J20" s="25" t="s">
        <v>8</v>
      </c>
      <c r="K20" s="25" t="s">
        <v>38</v>
      </c>
      <c r="L20" s="25" t="s">
        <v>11</v>
      </c>
      <c r="M20" s="25" t="s">
        <v>14</v>
      </c>
      <c r="N20" s="25" t="s">
        <v>9</v>
      </c>
      <c r="O20" s="25" t="s">
        <v>13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ht="14.25" customHeight="1">
      <c r="A21" s="25" t="s">
        <v>6</v>
      </c>
      <c r="B21" s="26" t="s">
        <v>56</v>
      </c>
      <c r="C21" s="27" t="s">
        <v>57</v>
      </c>
      <c r="D21" s="25">
        <v>2008.0</v>
      </c>
      <c r="E21" s="25" t="s">
        <v>77</v>
      </c>
      <c r="F21" s="25" t="s">
        <v>37</v>
      </c>
      <c r="G21" s="25" t="s">
        <v>9</v>
      </c>
      <c r="H21" s="25" t="s">
        <v>17</v>
      </c>
      <c r="I21" s="25" t="s">
        <v>13</v>
      </c>
      <c r="J21" s="25" t="s">
        <v>8</v>
      </c>
      <c r="K21" s="27" t="s">
        <v>76</v>
      </c>
      <c r="L21" s="25" t="s">
        <v>15</v>
      </c>
      <c r="M21" s="25" t="s">
        <v>15</v>
      </c>
      <c r="N21" s="25" t="s">
        <v>9</v>
      </c>
      <c r="O21" s="25" t="s">
        <v>11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14.25" customHeight="1">
      <c r="A22" s="25" t="s">
        <v>6</v>
      </c>
      <c r="B22" s="26" t="s">
        <v>59</v>
      </c>
      <c r="C22" s="27" t="s">
        <v>60</v>
      </c>
      <c r="D22" s="25">
        <v>2008.0</v>
      </c>
      <c r="E22" s="27" t="s">
        <v>78</v>
      </c>
      <c r="F22" s="25" t="s">
        <v>37</v>
      </c>
      <c r="G22" s="25" t="s">
        <v>9</v>
      </c>
      <c r="H22" s="25" t="s">
        <v>16</v>
      </c>
      <c r="I22" s="25" t="s">
        <v>9</v>
      </c>
      <c r="J22" s="27" t="s">
        <v>14</v>
      </c>
      <c r="K22" s="25" t="s">
        <v>15</v>
      </c>
      <c r="L22" s="25" t="s">
        <v>15</v>
      </c>
      <c r="M22" s="25" t="s">
        <v>16</v>
      </c>
      <c r="N22" s="25" t="s">
        <v>9</v>
      </c>
      <c r="O22" s="25" t="s">
        <v>13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ht="14.25" customHeight="1">
      <c r="A23" s="25" t="s">
        <v>6</v>
      </c>
      <c r="B23" s="25" t="s">
        <v>62</v>
      </c>
      <c r="C23" s="27" t="s">
        <v>63</v>
      </c>
      <c r="D23" s="25">
        <v>2008.0</v>
      </c>
      <c r="E23" s="25" t="s">
        <v>64</v>
      </c>
      <c r="F23" s="25" t="s">
        <v>37</v>
      </c>
      <c r="G23" s="25" t="s">
        <v>11</v>
      </c>
      <c r="H23" s="25" t="s">
        <v>16</v>
      </c>
      <c r="I23" s="25" t="s">
        <v>13</v>
      </c>
      <c r="J23" s="25" t="s">
        <v>8</v>
      </c>
      <c r="K23" s="25" t="s">
        <v>38</v>
      </c>
      <c r="L23" s="25" t="s">
        <v>15</v>
      </c>
      <c r="M23" s="25" t="s">
        <v>16</v>
      </c>
      <c r="N23" s="25" t="s">
        <v>9</v>
      </c>
      <c r="O23" s="25" t="s">
        <v>9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ht="14.25" customHeight="1">
      <c r="A24" s="25" t="s">
        <v>6</v>
      </c>
      <c r="B24" s="32" t="s">
        <v>65</v>
      </c>
      <c r="C24" s="27" t="s">
        <v>63</v>
      </c>
      <c r="D24" s="25">
        <v>2008.0</v>
      </c>
      <c r="E24" s="33" t="s">
        <v>79</v>
      </c>
      <c r="F24" s="33"/>
      <c r="G24" s="33"/>
      <c r="H24" s="33"/>
      <c r="I24" s="33"/>
      <c r="J24" s="33"/>
      <c r="K24" s="33"/>
      <c r="L24" s="33"/>
      <c r="M24" s="34"/>
      <c r="N24" s="35"/>
      <c r="O24" s="3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ht="14.25" customHeight="1">
      <c r="A25" s="25" t="s">
        <v>6</v>
      </c>
      <c r="B25" s="25" t="s">
        <v>67</v>
      </c>
      <c r="C25" s="27" t="s">
        <v>68</v>
      </c>
      <c r="D25" s="25">
        <v>2008.0</v>
      </c>
      <c r="E25" s="25" t="s">
        <v>80</v>
      </c>
      <c r="F25" s="25" t="s">
        <v>37</v>
      </c>
      <c r="G25" s="25" t="s">
        <v>9</v>
      </c>
      <c r="H25" s="25" t="s">
        <v>17</v>
      </c>
      <c r="I25" s="25" t="s">
        <v>13</v>
      </c>
      <c r="J25" s="27" t="s">
        <v>14</v>
      </c>
      <c r="K25" s="25" t="s">
        <v>15</v>
      </c>
      <c r="L25" s="25" t="s">
        <v>9</v>
      </c>
      <c r="M25" s="25" t="s">
        <v>9</v>
      </c>
      <c r="N25" s="25" t="s">
        <v>9</v>
      </c>
      <c r="O25" s="25" t="s">
        <v>13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ht="14.25" customHeight="1">
      <c r="A26" s="25" t="s">
        <v>6</v>
      </c>
      <c r="B26" s="26" t="s">
        <v>34</v>
      </c>
      <c r="C26" s="27" t="s">
        <v>35</v>
      </c>
      <c r="D26" s="25">
        <v>2013.0</v>
      </c>
      <c r="E26" s="25" t="s">
        <v>81</v>
      </c>
      <c r="F26" s="31" t="s">
        <v>37</v>
      </c>
      <c r="G26" s="25" t="s">
        <v>8</v>
      </c>
      <c r="H26" s="25" t="s">
        <v>16</v>
      </c>
      <c r="I26" s="25" t="s">
        <v>8</v>
      </c>
      <c r="J26" s="25" t="s">
        <v>14</v>
      </c>
      <c r="K26" s="25" t="s">
        <v>15</v>
      </c>
      <c r="L26" s="25" t="s">
        <v>13</v>
      </c>
      <c r="M26" s="25" t="s">
        <v>13</v>
      </c>
      <c r="N26" s="25" t="s">
        <v>9</v>
      </c>
      <c r="O26" s="25" t="s">
        <v>9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14.25" customHeight="1">
      <c r="A27" s="25" t="s">
        <v>6</v>
      </c>
      <c r="B27" s="26" t="s">
        <v>82</v>
      </c>
      <c r="C27" s="27" t="s">
        <v>35</v>
      </c>
      <c r="D27" s="25">
        <v>2013.0</v>
      </c>
      <c r="E27" s="27" t="s">
        <v>83</v>
      </c>
      <c r="F27" s="31" t="s">
        <v>37</v>
      </c>
      <c r="G27" s="25" t="s">
        <v>8</v>
      </c>
      <c r="H27" s="25" t="s">
        <v>16</v>
      </c>
      <c r="I27" s="25" t="s">
        <v>8</v>
      </c>
      <c r="J27" s="25" t="s">
        <v>14</v>
      </c>
      <c r="K27" s="25" t="s">
        <v>15</v>
      </c>
      <c r="L27" s="25" t="s">
        <v>13</v>
      </c>
      <c r="M27" s="25" t="s">
        <v>13</v>
      </c>
      <c r="N27" s="25" t="s">
        <v>9</v>
      </c>
      <c r="O27" s="25" t="s">
        <v>13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14.25" customHeight="1">
      <c r="A28" s="25" t="s">
        <v>6</v>
      </c>
      <c r="B28" s="26" t="s">
        <v>84</v>
      </c>
      <c r="C28" s="27" t="s">
        <v>43</v>
      </c>
      <c r="D28" s="25">
        <v>2013.0</v>
      </c>
      <c r="E28" s="27" t="s">
        <v>73</v>
      </c>
      <c r="F28" s="31" t="s">
        <v>37</v>
      </c>
      <c r="G28" s="25" t="s">
        <v>8</v>
      </c>
      <c r="H28" s="25" t="s">
        <v>16</v>
      </c>
      <c r="I28" s="25" t="s">
        <v>8</v>
      </c>
      <c r="J28" s="25" t="s">
        <v>14</v>
      </c>
      <c r="K28" s="25" t="s">
        <v>15</v>
      </c>
      <c r="L28" s="25" t="s">
        <v>13</v>
      </c>
      <c r="M28" s="25" t="s">
        <v>9</v>
      </c>
      <c r="N28" s="25" t="s">
        <v>9</v>
      </c>
      <c r="O28" s="25" t="s">
        <v>9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14.25" customHeight="1">
      <c r="A29" s="25" t="s">
        <v>6</v>
      </c>
      <c r="B29" s="26" t="s">
        <v>45</v>
      </c>
      <c r="C29" s="27" t="s">
        <v>46</v>
      </c>
      <c r="D29" s="25">
        <v>2013.0</v>
      </c>
      <c r="E29" s="27" t="s">
        <v>85</v>
      </c>
      <c r="F29" s="31" t="s">
        <v>37</v>
      </c>
      <c r="G29" s="25" t="s">
        <v>8</v>
      </c>
      <c r="H29" s="31" t="s">
        <v>17</v>
      </c>
      <c r="I29" s="31" t="s">
        <v>13</v>
      </c>
      <c r="J29" s="31" t="s">
        <v>14</v>
      </c>
      <c r="K29" s="31" t="s">
        <v>15</v>
      </c>
      <c r="L29" s="31" t="s">
        <v>8</v>
      </c>
      <c r="M29" s="31" t="s">
        <v>86</v>
      </c>
      <c r="N29" s="31" t="s">
        <v>8</v>
      </c>
      <c r="O29" s="31" t="s">
        <v>8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ht="14.25" customHeight="1">
      <c r="A30" s="25" t="s">
        <v>6</v>
      </c>
      <c r="B30" s="26" t="s">
        <v>48</v>
      </c>
      <c r="C30" s="27" t="s">
        <v>46</v>
      </c>
      <c r="D30" s="25">
        <v>2013.0</v>
      </c>
      <c r="E30" s="25" t="s">
        <v>87</v>
      </c>
      <c r="F30" s="31" t="s">
        <v>37</v>
      </c>
      <c r="G30" s="25" t="s">
        <v>8</v>
      </c>
      <c r="H30" s="31" t="s">
        <v>17</v>
      </c>
      <c r="I30" s="31" t="s">
        <v>13</v>
      </c>
      <c r="J30" s="31" t="s">
        <v>14</v>
      </c>
      <c r="K30" s="31" t="s">
        <v>15</v>
      </c>
      <c r="L30" s="31" t="s">
        <v>8</v>
      </c>
      <c r="M30" s="31" t="s">
        <v>86</v>
      </c>
      <c r="N30" s="31" t="s">
        <v>9</v>
      </c>
      <c r="O30" s="31" t="s">
        <v>11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14.25" customHeight="1">
      <c r="A31" s="25" t="s">
        <v>6</v>
      </c>
      <c r="B31" s="29" t="s">
        <v>50</v>
      </c>
      <c r="C31" s="27" t="s">
        <v>51</v>
      </c>
      <c r="D31" s="25">
        <v>2013.0</v>
      </c>
      <c r="E31" s="31" t="s">
        <v>75</v>
      </c>
      <c r="F31" s="31" t="s">
        <v>37</v>
      </c>
      <c r="G31" s="25" t="s">
        <v>8</v>
      </c>
      <c r="H31" s="25" t="s">
        <v>16</v>
      </c>
      <c r="I31" s="25" t="s">
        <v>8</v>
      </c>
      <c r="J31" s="25" t="s">
        <v>8</v>
      </c>
      <c r="K31" s="25" t="s">
        <v>76</v>
      </c>
      <c r="L31" s="25" t="s">
        <v>13</v>
      </c>
      <c r="M31" s="25" t="s">
        <v>13</v>
      </c>
      <c r="N31" s="25" t="s">
        <v>9</v>
      </c>
      <c r="O31" s="25" t="s">
        <v>9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14.25" customHeight="1">
      <c r="A32" s="25" t="s">
        <v>6</v>
      </c>
      <c r="B32" s="29" t="s">
        <v>54</v>
      </c>
      <c r="C32" s="27" t="s">
        <v>51</v>
      </c>
      <c r="D32" s="25">
        <v>2013.0</v>
      </c>
      <c r="E32" s="33" t="s">
        <v>79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14.25" customHeight="1">
      <c r="A33" s="25" t="s">
        <v>6</v>
      </c>
      <c r="B33" s="26" t="s">
        <v>56</v>
      </c>
      <c r="C33" s="27" t="s">
        <v>88</v>
      </c>
      <c r="D33" s="25">
        <v>2013.0</v>
      </c>
      <c r="E33" s="27" t="s">
        <v>58</v>
      </c>
      <c r="F33" s="31" t="s">
        <v>37</v>
      </c>
      <c r="G33" s="25" t="s">
        <v>8</v>
      </c>
      <c r="H33" s="25" t="s">
        <v>16</v>
      </c>
      <c r="I33" s="25" t="s">
        <v>8</v>
      </c>
      <c r="J33" s="25" t="s">
        <v>14</v>
      </c>
      <c r="K33" s="25" t="s">
        <v>15</v>
      </c>
      <c r="L33" s="25" t="s">
        <v>15</v>
      </c>
      <c r="M33" s="25" t="s">
        <v>15</v>
      </c>
      <c r="N33" s="25" t="s">
        <v>9</v>
      </c>
      <c r="O33" s="25" t="s">
        <v>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ht="14.25" customHeight="1">
      <c r="A34" s="25" t="s">
        <v>6</v>
      </c>
      <c r="B34" s="26" t="s">
        <v>59</v>
      </c>
      <c r="C34" s="27" t="s">
        <v>60</v>
      </c>
      <c r="D34" s="25">
        <v>2013.0</v>
      </c>
      <c r="E34" s="25" t="s">
        <v>89</v>
      </c>
      <c r="F34" s="37" t="s">
        <v>90</v>
      </c>
      <c r="G34" s="31" t="s">
        <v>14</v>
      </c>
      <c r="H34" s="31" t="s">
        <v>17</v>
      </c>
      <c r="I34" s="31" t="s">
        <v>13</v>
      </c>
      <c r="J34" s="31" t="s">
        <v>14</v>
      </c>
      <c r="K34" s="31" t="s">
        <v>15</v>
      </c>
      <c r="L34" s="31" t="s">
        <v>9</v>
      </c>
      <c r="M34" s="31" t="s">
        <v>13</v>
      </c>
      <c r="N34" s="31" t="s">
        <v>9</v>
      </c>
      <c r="O34" s="31" t="s">
        <v>13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ht="14.25" customHeight="1">
      <c r="A35" s="25" t="s">
        <v>6</v>
      </c>
      <c r="B35" s="26" t="s">
        <v>62</v>
      </c>
      <c r="C35" s="27" t="s">
        <v>63</v>
      </c>
      <c r="D35" s="25">
        <v>2013.0</v>
      </c>
      <c r="E35" s="27" t="s">
        <v>91</v>
      </c>
      <c r="F35" s="37" t="s">
        <v>90</v>
      </c>
      <c r="G35" s="30" t="s">
        <v>11</v>
      </c>
      <c r="H35" s="31" t="s">
        <v>17</v>
      </c>
      <c r="I35" s="31" t="s">
        <v>11</v>
      </c>
      <c r="J35" s="31" t="s">
        <v>13</v>
      </c>
      <c r="K35" s="31" t="s">
        <v>15</v>
      </c>
      <c r="L35" s="31" t="s">
        <v>15</v>
      </c>
      <c r="M35" s="31" t="s">
        <v>15</v>
      </c>
      <c r="N35" s="31" t="s">
        <v>13</v>
      </c>
      <c r="O35" s="31" t="s">
        <v>11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14.25" customHeight="1">
      <c r="A36" s="25" t="s">
        <v>6</v>
      </c>
      <c r="B36" s="26" t="s">
        <v>65</v>
      </c>
      <c r="C36" s="27" t="s">
        <v>63</v>
      </c>
      <c r="D36" s="25">
        <v>2013.0</v>
      </c>
      <c r="E36" s="27" t="s">
        <v>92</v>
      </c>
      <c r="F36" s="37" t="s">
        <v>93</v>
      </c>
      <c r="G36" s="31" t="s">
        <v>13</v>
      </c>
      <c r="H36" s="31" t="s">
        <v>17</v>
      </c>
      <c r="I36" s="31" t="s">
        <v>13</v>
      </c>
      <c r="J36" s="31" t="s">
        <v>9</v>
      </c>
      <c r="K36" s="31" t="s">
        <v>38</v>
      </c>
      <c r="L36" s="31" t="s">
        <v>15</v>
      </c>
      <c r="M36" s="31" t="s">
        <v>15</v>
      </c>
      <c r="N36" s="31" t="s">
        <v>11</v>
      </c>
      <c r="O36" s="31" t="s">
        <v>13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14.25" customHeight="1">
      <c r="A37" s="25" t="s">
        <v>6</v>
      </c>
      <c r="B37" s="26" t="s">
        <v>94</v>
      </c>
      <c r="C37" s="27" t="s">
        <v>68</v>
      </c>
      <c r="D37" s="25">
        <v>2013.0</v>
      </c>
      <c r="E37" s="25" t="s">
        <v>95</v>
      </c>
      <c r="F37" s="30" t="s">
        <v>96</v>
      </c>
      <c r="G37" s="31" t="s">
        <v>8</v>
      </c>
      <c r="H37" s="31" t="s">
        <v>16</v>
      </c>
      <c r="I37" s="31" t="s">
        <v>8</v>
      </c>
      <c r="J37" s="31" t="s">
        <v>14</v>
      </c>
      <c r="K37" s="31" t="s">
        <v>97</v>
      </c>
      <c r="L37" s="31" t="s">
        <v>13</v>
      </c>
      <c r="M37" s="31" t="s">
        <v>11</v>
      </c>
      <c r="N37" s="31" t="s">
        <v>9</v>
      </c>
      <c r="O37" s="31" t="s">
        <v>13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14.25" customHeight="1">
      <c r="A38" s="25" t="s">
        <v>6</v>
      </c>
      <c r="B38" s="26" t="s">
        <v>98</v>
      </c>
      <c r="C38" s="27" t="s">
        <v>35</v>
      </c>
      <c r="D38" s="25">
        <v>2018.0</v>
      </c>
      <c r="E38" s="27" t="s">
        <v>99</v>
      </c>
      <c r="F38" s="25" t="s">
        <v>96</v>
      </c>
      <c r="G38" s="25" t="s">
        <v>14</v>
      </c>
      <c r="H38" s="25" t="s">
        <v>17</v>
      </c>
      <c r="I38" s="25" t="s">
        <v>14</v>
      </c>
      <c r="J38" s="25" t="s">
        <v>14</v>
      </c>
      <c r="K38" s="25" t="s">
        <v>15</v>
      </c>
      <c r="L38" s="25" t="s">
        <v>15</v>
      </c>
      <c r="M38" s="25" t="s">
        <v>97</v>
      </c>
      <c r="N38" s="25" t="s">
        <v>11</v>
      </c>
      <c r="O38" s="25" t="s">
        <v>13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14.25" customHeight="1">
      <c r="A39" s="25" t="s">
        <v>6</v>
      </c>
      <c r="B39" s="26" t="s">
        <v>100</v>
      </c>
      <c r="C39" s="27" t="s">
        <v>35</v>
      </c>
      <c r="D39" s="25">
        <v>2018.0</v>
      </c>
      <c r="E39" s="25" t="s">
        <v>101</v>
      </c>
      <c r="F39" s="25" t="s">
        <v>96</v>
      </c>
      <c r="G39" s="25" t="s">
        <v>14</v>
      </c>
      <c r="H39" s="27" t="s">
        <v>17</v>
      </c>
      <c r="I39" s="25" t="s">
        <v>14</v>
      </c>
      <c r="J39" s="25" t="s">
        <v>14</v>
      </c>
      <c r="K39" s="25" t="s">
        <v>15</v>
      </c>
      <c r="L39" s="25" t="s">
        <v>15</v>
      </c>
      <c r="M39" s="25" t="s">
        <v>97</v>
      </c>
      <c r="N39" s="25" t="s">
        <v>11</v>
      </c>
      <c r="O39" s="25" t="s">
        <v>13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4.25" customHeight="1">
      <c r="A40" s="25" t="s">
        <v>6</v>
      </c>
      <c r="B40" s="26" t="s">
        <v>102</v>
      </c>
      <c r="C40" s="27" t="s">
        <v>43</v>
      </c>
      <c r="D40" s="25">
        <v>2018.0</v>
      </c>
      <c r="E40" s="38" t="s">
        <v>103</v>
      </c>
      <c r="F40" s="25" t="s">
        <v>96</v>
      </c>
      <c r="G40" s="25" t="s">
        <v>14</v>
      </c>
      <c r="H40" s="27" t="s">
        <v>17</v>
      </c>
      <c r="I40" s="25" t="s">
        <v>14</v>
      </c>
      <c r="J40" s="25" t="s">
        <v>14</v>
      </c>
      <c r="K40" s="25" t="s">
        <v>15</v>
      </c>
      <c r="L40" s="25" t="s">
        <v>15</v>
      </c>
      <c r="M40" s="25" t="s">
        <v>97</v>
      </c>
      <c r="N40" s="25" t="s">
        <v>11</v>
      </c>
      <c r="O40" s="25" t="s">
        <v>13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4.25" customHeight="1">
      <c r="A41" s="25" t="s">
        <v>6</v>
      </c>
      <c r="B41" s="26" t="s">
        <v>104</v>
      </c>
      <c r="C41" s="27" t="s">
        <v>46</v>
      </c>
      <c r="D41" s="25">
        <v>2018.0</v>
      </c>
      <c r="E41" s="25" t="s">
        <v>47</v>
      </c>
      <c r="F41" s="25" t="s">
        <v>96</v>
      </c>
      <c r="G41" s="25" t="s">
        <v>9</v>
      </c>
      <c r="H41" s="25" t="s">
        <v>16</v>
      </c>
      <c r="I41" s="25" t="s">
        <v>13</v>
      </c>
      <c r="J41" s="25" t="s">
        <v>9</v>
      </c>
      <c r="K41" s="25" t="s">
        <v>53</v>
      </c>
      <c r="L41" s="25" t="s">
        <v>11</v>
      </c>
      <c r="M41" s="25" t="s">
        <v>15</v>
      </c>
      <c r="N41" s="25" t="s">
        <v>9</v>
      </c>
      <c r="O41" s="25" t="s">
        <v>9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4.25" customHeight="1">
      <c r="A42" s="25" t="s">
        <v>6</v>
      </c>
      <c r="B42" s="26" t="s">
        <v>105</v>
      </c>
      <c r="C42" s="27" t="s">
        <v>46</v>
      </c>
      <c r="D42" s="25">
        <v>2018.0</v>
      </c>
      <c r="E42" s="25" t="s">
        <v>106</v>
      </c>
      <c r="F42" s="25" t="s">
        <v>96</v>
      </c>
      <c r="G42" s="25" t="s">
        <v>14</v>
      </c>
      <c r="H42" s="27" t="s">
        <v>17</v>
      </c>
      <c r="I42" s="25" t="s">
        <v>14</v>
      </c>
      <c r="J42" s="25" t="s">
        <v>14</v>
      </c>
      <c r="K42" s="25" t="s">
        <v>15</v>
      </c>
      <c r="L42" s="25" t="s">
        <v>15</v>
      </c>
      <c r="M42" s="25" t="s">
        <v>97</v>
      </c>
      <c r="N42" s="25" t="s">
        <v>13</v>
      </c>
      <c r="O42" s="25" t="s">
        <v>13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4.25" customHeight="1">
      <c r="A43" s="25" t="s">
        <v>6</v>
      </c>
      <c r="B43" s="26" t="s">
        <v>107</v>
      </c>
      <c r="C43" s="27" t="s">
        <v>51</v>
      </c>
      <c r="D43" s="25">
        <v>2018.0</v>
      </c>
      <c r="E43" s="25" t="s">
        <v>108</v>
      </c>
      <c r="F43" s="25" t="s">
        <v>38</v>
      </c>
      <c r="G43" s="25" t="s">
        <v>9</v>
      </c>
      <c r="H43" s="25" t="s">
        <v>16</v>
      </c>
      <c r="I43" s="25" t="s">
        <v>13</v>
      </c>
      <c r="J43" s="25" t="s">
        <v>8</v>
      </c>
      <c r="K43" s="25" t="s">
        <v>38</v>
      </c>
      <c r="L43" s="25" t="s">
        <v>11</v>
      </c>
      <c r="M43" s="25" t="s">
        <v>14</v>
      </c>
      <c r="N43" s="25" t="s">
        <v>13</v>
      </c>
      <c r="O43" s="25" t="s">
        <v>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4.25" customHeight="1">
      <c r="A44" s="25" t="s">
        <v>6</v>
      </c>
      <c r="B44" s="26" t="s">
        <v>109</v>
      </c>
      <c r="C44" s="27" t="s">
        <v>51</v>
      </c>
      <c r="D44" s="25">
        <v>2018.0</v>
      </c>
      <c r="E44" s="25" t="s">
        <v>75</v>
      </c>
      <c r="F44" s="25" t="s">
        <v>72</v>
      </c>
      <c r="G44" s="25" t="s">
        <v>8</v>
      </c>
      <c r="H44" s="25" t="s">
        <v>16</v>
      </c>
      <c r="I44" s="25" t="s">
        <v>8</v>
      </c>
      <c r="J44" s="25" t="s">
        <v>8</v>
      </c>
      <c r="K44" s="25" t="s">
        <v>76</v>
      </c>
      <c r="L44" s="25" t="s">
        <v>13</v>
      </c>
      <c r="M44" s="25" t="s">
        <v>13</v>
      </c>
      <c r="N44" s="25" t="s">
        <v>9</v>
      </c>
      <c r="O44" s="25" t="s">
        <v>9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4.25" customHeight="1">
      <c r="A45" s="25" t="s">
        <v>6</v>
      </c>
      <c r="B45" s="26" t="s">
        <v>110</v>
      </c>
      <c r="C45" s="27" t="s">
        <v>57</v>
      </c>
      <c r="D45" s="25">
        <v>2018.0</v>
      </c>
      <c r="E45" s="25" t="s">
        <v>77</v>
      </c>
      <c r="F45" s="25" t="s">
        <v>96</v>
      </c>
      <c r="G45" s="25" t="s">
        <v>9</v>
      </c>
      <c r="H45" s="25" t="s">
        <v>16</v>
      </c>
      <c r="I45" s="25" t="s">
        <v>13</v>
      </c>
      <c r="J45" s="25" t="s">
        <v>8</v>
      </c>
      <c r="K45" s="27" t="s">
        <v>76</v>
      </c>
      <c r="L45" s="25" t="s">
        <v>15</v>
      </c>
      <c r="M45" s="25" t="s">
        <v>15</v>
      </c>
      <c r="N45" s="25" t="s">
        <v>11</v>
      </c>
      <c r="O45" s="25" t="s">
        <v>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4.25" customHeight="1">
      <c r="A46" s="25" t="s">
        <v>6</v>
      </c>
      <c r="B46" s="26" t="s">
        <v>111</v>
      </c>
      <c r="C46" s="27" t="s">
        <v>60</v>
      </c>
      <c r="D46" s="25">
        <v>2018.0</v>
      </c>
      <c r="E46" s="25" t="s">
        <v>112</v>
      </c>
      <c r="F46" s="25" t="s">
        <v>113</v>
      </c>
      <c r="G46" s="25" t="s">
        <v>14</v>
      </c>
      <c r="H46" s="25" t="s">
        <v>17</v>
      </c>
      <c r="I46" s="25" t="s">
        <v>13</v>
      </c>
      <c r="J46" s="25" t="s">
        <v>14</v>
      </c>
      <c r="K46" s="25" t="s">
        <v>15</v>
      </c>
      <c r="L46" s="25" t="s">
        <v>15</v>
      </c>
      <c r="M46" s="25" t="s">
        <v>15</v>
      </c>
      <c r="N46" s="25" t="s">
        <v>13</v>
      </c>
      <c r="O46" s="25" t="s">
        <v>13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4.25" customHeight="1">
      <c r="A47" s="25" t="s">
        <v>6</v>
      </c>
      <c r="B47" s="26" t="s">
        <v>114</v>
      </c>
      <c r="C47" s="27" t="s">
        <v>63</v>
      </c>
      <c r="D47" s="25">
        <v>2018.0</v>
      </c>
      <c r="E47" s="27" t="s">
        <v>92</v>
      </c>
      <c r="F47" s="25" t="s">
        <v>38</v>
      </c>
      <c r="G47" s="31" t="s">
        <v>13</v>
      </c>
      <c r="H47" s="31" t="s">
        <v>16</v>
      </c>
      <c r="I47" s="31" t="s">
        <v>13</v>
      </c>
      <c r="J47" s="31" t="s">
        <v>8</v>
      </c>
      <c r="K47" s="31" t="s">
        <v>38</v>
      </c>
      <c r="L47" s="30" t="s">
        <v>11</v>
      </c>
      <c r="M47" s="31" t="s">
        <v>15</v>
      </c>
      <c r="N47" s="31" t="s">
        <v>11</v>
      </c>
      <c r="O47" s="30" t="s">
        <v>13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4.25" customHeight="1">
      <c r="A48" s="25" t="s">
        <v>6</v>
      </c>
      <c r="B48" s="26" t="s">
        <v>115</v>
      </c>
      <c r="C48" s="27" t="s">
        <v>63</v>
      </c>
      <c r="D48" s="25">
        <v>2018.0</v>
      </c>
      <c r="E48" s="25" t="s">
        <v>116</v>
      </c>
      <c r="F48" s="25" t="s">
        <v>113</v>
      </c>
      <c r="G48" s="25" t="s">
        <v>9</v>
      </c>
      <c r="H48" s="25" t="s">
        <v>17</v>
      </c>
      <c r="I48" s="25" t="s">
        <v>8</v>
      </c>
      <c r="J48" s="25" t="s">
        <v>14</v>
      </c>
      <c r="K48" s="25" t="s">
        <v>15</v>
      </c>
      <c r="L48" s="25" t="s">
        <v>13</v>
      </c>
      <c r="M48" s="25" t="s">
        <v>15</v>
      </c>
      <c r="N48" s="25" t="s">
        <v>11</v>
      </c>
      <c r="O48" s="25" t="s">
        <v>13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4.25" customHeight="1">
      <c r="A49" s="25" t="s">
        <v>6</v>
      </c>
      <c r="B49" s="26" t="s">
        <v>117</v>
      </c>
      <c r="C49" s="27" t="s">
        <v>68</v>
      </c>
      <c r="D49" s="25">
        <v>2018.0</v>
      </c>
      <c r="E49" s="25" t="s">
        <v>118</v>
      </c>
      <c r="F49" s="25" t="s">
        <v>38</v>
      </c>
      <c r="G49" s="25" t="s">
        <v>14</v>
      </c>
      <c r="H49" s="25" t="s">
        <v>17</v>
      </c>
      <c r="I49" s="25" t="s">
        <v>13</v>
      </c>
      <c r="J49" s="25" t="s">
        <v>8</v>
      </c>
      <c r="K49" s="25" t="s">
        <v>38</v>
      </c>
      <c r="L49" s="25" t="s">
        <v>15</v>
      </c>
      <c r="M49" s="25" t="s">
        <v>15</v>
      </c>
      <c r="N49" s="25" t="s">
        <v>13</v>
      </c>
      <c r="O49" s="25" t="s">
        <v>15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4.25" customHeight="1">
      <c r="A50" s="25" t="s">
        <v>7</v>
      </c>
      <c r="B50" s="26" t="s">
        <v>119</v>
      </c>
      <c r="C50" s="27" t="s">
        <v>120</v>
      </c>
      <c r="D50" s="25">
        <v>2019.0</v>
      </c>
      <c r="E50" s="25" t="s">
        <v>121</v>
      </c>
      <c r="F50" s="25" t="s">
        <v>96</v>
      </c>
      <c r="G50" s="25" t="s">
        <v>8</v>
      </c>
      <c r="H50" s="25" t="s">
        <v>16</v>
      </c>
      <c r="I50" s="25" t="s">
        <v>8</v>
      </c>
      <c r="J50" s="25" t="s">
        <v>13</v>
      </c>
      <c r="K50" s="25" t="s">
        <v>15</v>
      </c>
      <c r="L50" s="27" t="s">
        <v>15</v>
      </c>
      <c r="M50" s="25" t="s">
        <v>15</v>
      </c>
      <c r="N50" s="25" t="s">
        <v>9</v>
      </c>
      <c r="O50" s="25" t="s">
        <v>13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4.25" customHeight="1">
      <c r="A51" s="25" t="s">
        <v>7</v>
      </c>
      <c r="B51" s="26" t="s">
        <v>122</v>
      </c>
      <c r="C51" s="27" t="s">
        <v>120</v>
      </c>
      <c r="D51" s="25">
        <v>2019.0</v>
      </c>
      <c r="E51" s="25" t="s">
        <v>123</v>
      </c>
      <c r="F51" s="25" t="s">
        <v>96</v>
      </c>
      <c r="G51" s="25" t="s">
        <v>14</v>
      </c>
      <c r="H51" s="25" t="s">
        <v>17</v>
      </c>
      <c r="I51" s="25" t="s">
        <v>15</v>
      </c>
      <c r="J51" s="25" t="s">
        <v>14</v>
      </c>
      <c r="K51" s="25" t="s">
        <v>15</v>
      </c>
      <c r="L51" s="27" t="s">
        <v>15</v>
      </c>
      <c r="M51" s="25" t="s">
        <v>15</v>
      </c>
      <c r="N51" s="27" t="s">
        <v>11</v>
      </c>
      <c r="O51" s="25" t="s">
        <v>11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4.25" customHeight="1">
      <c r="A52" s="25" t="s">
        <v>7</v>
      </c>
      <c r="B52" s="26" t="s">
        <v>124</v>
      </c>
      <c r="C52" s="27" t="s">
        <v>120</v>
      </c>
      <c r="D52" s="25">
        <v>2019.0</v>
      </c>
      <c r="E52" s="27" t="s">
        <v>125</v>
      </c>
      <c r="F52" s="25" t="s">
        <v>41</v>
      </c>
      <c r="G52" s="25" t="s">
        <v>9</v>
      </c>
      <c r="H52" s="25" t="s">
        <v>16</v>
      </c>
      <c r="I52" s="25" t="s">
        <v>8</v>
      </c>
      <c r="J52" s="25" t="s">
        <v>9</v>
      </c>
      <c r="K52" s="25" t="s">
        <v>41</v>
      </c>
      <c r="L52" s="25" t="s">
        <v>11</v>
      </c>
      <c r="M52" s="25" t="s">
        <v>15</v>
      </c>
      <c r="N52" s="25" t="s">
        <v>9</v>
      </c>
      <c r="O52" s="25" t="s">
        <v>13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4.25" customHeight="1">
      <c r="A53" s="25" t="s">
        <v>7</v>
      </c>
      <c r="B53" s="26" t="s">
        <v>126</v>
      </c>
      <c r="C53" s="27" t="s">
        <v>46</v>
      </c>
      <c r="D53" s="25">
        <v>2019.0</v>
      </c>
      <c r="E53" s="25" t="s">
        <v>127</v>
      </c>
      <c r="F53" s="25" t="s">
        <v>37</v>
      </c>
      <c r="G53" s="25" t="s">
        <v>8</v>
      </c>
      <c r="H53" s="31" t="s">
        <v>16</v>
      </c>
      <c r="I53" s="31" t="s">
        <v>13</v>
      </c>
      <c r="J53" s="31" t="s">
        <v>14</v>
      </c>
      <c r="K53" s="31" t="s">
        <v>15</v>
      </c>
      <c r="L53" s="31" t="s">
        <v>8</v>
      </c>
      <c r="M53" s="31" t="s">
        <v>86</v>
      </c>
      <c r="N53" s="30" t="s">
        <v>128</v>
      </c>
      <c r="O53" s="31" t="s">
        <v>8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4.25" customHeight="1">
      <c r="A54" s="25" t="s">
        <v>7</v>
      </c>
      <c r="B54" s="26" t="s">
        <v>129</v>
      </c>
      <c r="C54" s="27" t="s">
        <v>46</v>
      </c>
      <c r="D54" s="25">
        <v>2019.0</v>
      </c>
      <c r="E54" s="25" t="s">
        <v>130</v>
      </c>
      <c r="F54" s="25" t="s">
        <v>37</v>
      </c>
      <c r="G54" s="25" t="s">
        <v>8</v>
      </c>
      <c r="H54" s="31" t="s">
        <v>16</v>
      </c>
      <c r="I54" s="31" t="s">
        <v>13</v>
      </c>
      <c r="J54" s="31" t="s">
        <v>14</v>
      </c>
      <c r="K54" s="31" t="s">
        <v>15</v>
      </c>
      <c r="L54" s="31" t="s">
        <v>8</v>
      </c>
      <c r="M54" s="31" t="s">
        <v>86</v>
      </c>
      <c r="N54" s="31" t="s">
        <v>8</v>
      </c>
      <c r="O54" s="31" t="s">
        <v>8</v>
      </c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4.25" customHeight="1">
      <c r="A55" s="25" t="s">
        <v>7</v>
      </c>
      <c r="B55" s="26" t="s">
        <v>131</v>
      </c>
      <c r="C55" s="27" t="s">
        <v>46</v>
      </c>
      <c r="D55" s="25">
        <v>2019.0</v>
      </c>
      <c r="E55" s="27" t="s">
        <v>132</v>
      </c>
      <c r="F55" s="25" t="s">
        <v>37</v>
      </c>
      <c r="G55" s="25" t="s">
        <v>13</v>
      </c>
      <c r="H55" s="25" t="s">
        <v>17</v>
      </c>
      <c r="I55" s="25" t="s">
        <v>13</v>
      </c>
      <c r="J55" s="25" t="s">
        <v>13</v>
      </c>
      <c r="K55" s="25" t="s">
        <v>15</v>
      </c>
      <c r="L55" s="25" t="s">
        <v>9</v>
      </c>
      <c r="M55" s="25" t="s">
        <v>9</v>
      </c>
      <c r="N55" s="25" t="s">
        <v>9</v>
      </c>
      <c r="O55" s="25" t="s">
        <v>13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4.25" customHeight="1">
      <c r="A56" s="25" t="s">
        <v>7</v>
      </c>
      <c r="B56" s="26" t="s">
        <v>133</v>
      </c>
      <c r="C56" s="27" t="s">
        <v>51</v>
      </c>
      <c r="D56" s="25">
        <v>2019.0</v>
      </c>
      <c r="E56" s="25" t="s">
        <v>134</v>
      </c>
      <c r="F56" s="25" t="s">
        <v>38</v>
      </c>
      <c r="G56" s="25" t="s">
        <v>9</v>
      </c>
      <c r="H56" s="25" t="s">
        <v>17</v>
      </c>
      <c r="I56" s="25" t="s">
        <v>13</v>
      </c>
      <c r="J56" s="25" t="s">
        <v>9</v>
      </c>
      <c r="K56" s="25" t="s">
        <v>38</v>
      </c>
      <c r="L56" s="25" t="s">
        <v>11</v>
      </c>
      <c r="M56" s="25" t="s">
        <v>11</v>
      </c>
      <c r="N56" s="27" t="s">
        <v>11</v>
      </c>
      <c r="O56" s="25" t="s">
        <v>135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4.25" customHeight="1">
      <c r="A57" s="25" t="s">
        <v>7</v>
      </c>
      <c r="B57" s="26" t="s">
        <v>136</v>
      </c>
      <c r="C57" s="27" t="s">
        <v>51</v>
      </c>
      <c r="D57" s="25">
        <v>2019.0</v>
      </c>
      <c r="E57" s="25" t="s">
        <v>137</v>
      </c>
      <c r="F57" s="25" t="s">
        <v>96</v>
      </c>
      <c r="G57" s="25" t="s">
        <v>9</v>
      </c>
      <c r="H57" s="25" t="s">
        <v>16</v>
      </c>
      <c r="I57" s="25" t="s">
        <v>13</v>
      </c>
      <c r="J57" s="25" t="s">
        <v>8</v>
      </c>
      <c r="K57" s="27" t="s">
        <v>53</v>
      </c>
      <c r="L57" s="25" t="s">
        <v>13</v>
      </c>
      <c r="M57" s="25" t="s">
        <v>14</v>
      </c>
      <c r="N57" s="25" t="s">
        <v>9</v>
      </c>
      <c r="O57" s="25" t="s">
        <v>8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4.25" customHeight="1">
      <c r="A58" s="25" t="s">
        <v>7</v>
      </c>
      <c r="B58" s="26" t="s">
        <v>138</v>
      </c>
      <c r="C58" s="27" t="s">
        <v>43</v>
      </c>
      <c r="D58" s="25">
        <v>2019.0</v>
      </c>
      <c r="E58" s="25" t="s">
        <v>139</v>
      </c>
      <c r="F58" s="25" t="s">
        <v>140</v>
      </c>
      <c r="G58" s="25" t="s">
        <v>11</v>
      </c>
      <c r="H58" s="31" t="s">
        <v>17</v>
      </c>
      <c r="I58" s="31" t="s">
        <v>11</v>
      </c>
      <c r="J58" s="31" t="s">
        <v>13</v>
      </c>
      <c r="K58" s="31" t="s">
        <v>15</v>
      </c>
      <c r="L58" s="30" t="s">
        <v>15</v>
      </c>
      <c r="M58" s="31" t="s">
        <v>15</v>
      </c>
      <c r="N58" s="25" t="s">
        <v>9</v>
      </c>
      <c r="O58" s="31" t="s">
        <v>13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4.25" customHeight="1">
      <c r="A59" s="25" t="s">
        <v>7</v>
      </c>
      <c r="B59" s="26" t="s">
        <v>141</v>
      </c>
      <c r="C59" s="27" t="s">
        <v>43</v>
      </c>
      <c r="D59" s="25">
        <v>2019.0</v>
      </c>
      <c r="E59" s="27" t="s">
        <v>142</v>
      </c>
      <c r="F59" s="25" t="s">
        <v>37</v>
      </c>
      <c r="G59" s="25" t="s">
        <v>8</v>
      </c>
      <c r="H59" s="25" t="s">
        <v>16</v>
      </c>
      <c r="I59" s="25" t="s">
        <v>8</v>
      </c>
      <c r="J59" s="25" t="s">
        <v>14</v>
      </c>
      <c r="K59" s="25" t="s">
        <v>15</v>
      </c>
      <c r="L59" s="25" t="s">
        <v>13</v>
      </c>
      <c r="M59" s="25" t="s">
        <v>9</v>
      </c>
      <c r="N59" s="25" t="s">
        <v>9</v>
      </c>
      <c r="O59" s="25" t="s">
        <v>9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4.25" customHeight="1">
      <c r="A60" s="25" t="s">
        <v>7</v>
      </c>
      <c r="B60" s="26" t="s">
        <v>143</v>
      </c>
      <c r="C60" s="27" t="s">
        <v>60</v>
      </c>
      <c r="D60" s="25">
        <v>2019.0</v>
      </c>
      <c r="E60" s="25" t="s">
        <v>106</v>
      </c>
      <c r="F60" s="25" t="s">
        <v>96</v>
      </c>
      <c r="G60" s="25" t="s">
        <v>13</v>
      </c>
      <c r="H60" s="25" t="s">
        <v>17</v>
      </c>
      <c r="I60" s="25" t="s">
        <v>13</v>
      </c>
      <c r="J60" s="25" t="s">
        <v>13</v>
      </c>
      <c r="K60" s="25" t="s">
        <v>15</v>
      </c>
      <c r="L60" s="25" t="s">
        <v>9</v>
      </c>
      <c r="M60" s="25" t="s">
        <v>9</v>
      </c>
      <c r="N60" s="25" t="s">
        <v>13</v>
      </c>
      <c r="O60" s="25" t="s">
        <v>8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4.25" customHeight="1">
      <c r="A61" s="25" t="s">
        <v>7</v>
      </c>
      <c r="B61" s="26" t="s">
        <v>144</v>
      </c>
      <c r="C61" s="27" t="s">
        <v>60</v>
      </c>
      <c r="D61" s="25">
        <v>2019.0</v>
      </c>
      <c r="E61" s="25" t="s">
        <v>145</v>
      </c>
      <c r="F61" s="25" t="s">
        <v>37</v>
      </c>
      <c r="G61" s="25" t="s">
        <v>13</v>
      </c>
      <c r="H61" s="25" t="s">
        <v>17</v>
      </c>
      <c r="I61" s="25" t="s">
        <v>13</v>
      </c>
      <c r="J61" s="25" t="s">
        <v>13</v>
      </c>
      <c r="K61" s="25" t="s">
        <v>15</v>
      </c>
      <c r="L61" s="27" t="s">
        <v>15</v>
      </c>
      <c r="M61" s="25" t="s">
        <v>15</v>
      </c>
      <c r="N61" s="25" t="s">
        <v>13</v>
      </c>
      <c r="O61" s="25" t="s">
        <v>15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4.25" customHeight="1">
      <c r="A62" s="26" t="s">
        <v>7</v>
      </c>
      <c r="B62" s="26" t="s">
        <v>146</v>
      </c>
      <c r="C62" s="27" t="s">
        <v>57</v>
      </c>
      <c r="D62" s="25">
        <v>2019.0</v>
      </c>
      <c r="E62" s="25" t="s">
        <v>147</v>
      </c>
      <c r="F62" s="25" t="s">
        <v>37</v>
      </c>
      <c r="G62" s="25" t="s">
        <v>8</v>
      </c>
      <c r="H62" s="25" t="s">
        <v>16</v>
      </c>
      <c r="I62" s="25" t="s">
        <v>8</v>
      </c>
      <c r="J62" s="25" t="s">
        <v>14</v>
      </c>
      <c r="K62" s="25" t="s">
        <v>15</v>
      </c>
      <c r="L62" s="25" t="s">
        <v>15</v>
      </c>
      <c r="M62" s="25" t="s">
        <v>15</v>
      </c>
      <c r="N62" s="25" t="s">
        <v>9</v>
      </c>
      <c r="O62" s="25" t="s">
        <v>9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4.25" customHeight="1">
      <c r="A63" s="26" t="s">
        <v>7</v>
      </c>
      <c r="B63" s="26" t="s">
        <v>148</v>
      </c>
      <c r="C63" s="27" t="s">
        <v>63</v>
      </c>
      <c r="D63" s="25">
        <v>2019.0</v>
      </c>
      <c r="E63" s="27" t="s">
        <v>149</v>
      </c>
      <c r="F63" s="25" t="s">
        <v>38</v>
      </c>
      <c r="G63" s="25" t="s">
        <v>13</v>
      </c>
      <c r="H63" s="25" t="s">
        <v>16</v>
      </c>
      <c r="I63" s="25" t="s">
        <v>13</v>
      </c>
      <c r="J63" s="25" t="s">
        <v>8</v>
      </c>
      <c r="K63" s="25" t="s">
        <v>38</v>
      </c>
      <c r="L63" s="27" t="s">
        <v>13</v>
      </c>
      <c r="M63" s="25" t="s">
        <v>15</v>
      </c>
      <c r="N63" s="25" t="s">
        <v>13</v>
      </c>
      <c r="O63" s="25" t="s">
        <v>15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4.25" customHeight="1">
      <c r="A64" s="26" t="s">
        <v>7</v>
      </c>
      <c r="B64" s="26" t="s">
        <v>150</v>
      </c>
      <c r="C64" s="27" t="s">
        <v>63</v>
      </c>
      <c r="D64" s="25">
        <v>2019.0</v>
      </c>
      <c r="E64" s="27" t="s">
        <v>151</v>
      </c>
      <c r="F64" s="25" t="s">
        <v>96</v>
      </c>
      <c r="G64" s="25" t="s">
        <v>8</v>
      </c>
      <c r="H64" s="25" t="s">
        <v>17</v>
      </c>
      <c r="I64" s="25" t="s">
        <v>11</v>
      </c>
      <c r="J64" s="25" t="s">
        <v>14</v>
      </c>
      <c r="K64" s="25" t="s">
        <v>15</v>
      </c>
      <c r="L64" s="25" t="s">
        <v>9</v>
      </c>
      <c r="M64" s="25" t="s">
        <v>11</v>
      </c>
      <c r="N64" s="25" t="s">
        <v>9</v>
      </c>
      <c r="O64" s="25" t="s">
        <v>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4.25" customHeight="1">
      <c r="A65" s="26" t="s">
        <v>7</v>
      </c>
      <c r="B65" s="26" t="s">
        <v>152</v>
      </c>
      <c r="C65" s="27" t="s">
        <v>68</v>
      </c>
      <c r="D65" s="25">
        <v>2019.0</v>
      </c>
      <c r="E65" s="25" t="s">
        <v>153</v>
      </c>
      <c r="F65" s="25" t="s">
        <v>38</v>
      </c>
      <c r="G65" s="25" t="s">
        <v>8</v>
      </c>
      <c r="H65" s="25" t="s">
        <v>16</v>
      </c>
      <c r="I65" s="25" t="s">
        <v>8</v>
      </c>
      <c r="J65" s="25" t="s">
        <v>14</v>
      </c>
      <c r="K65" s="25" t="s">
        <v>15</v>
      </c>
      <c r="L65" s="25" t="s">
        <v>9</v>
      </c>
      <c r="M65" s="25" t="s">
        <v>11</v>
      </c>
      <c r="N65" s="25" t="s">
        <v>9</v>
      </c>
      <c r="O65" s="27" t="s">
        <v>11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4.25" customHeight="1">
      <c r="A66" s="26" t="s">
        <v>6</v>
      </c>
      <c r="B66" s="26" t="s">
        <v>154</v>
      </c>
      <c r="C66" s="27" t="s">
        <v>35</v>
      </c>
      <c r="D66" s="27">
        <v>2024.0</v>
      </c>
      <c r="E66" s="39" t="s">
        <v>79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4.25" customHeight="1">
      <c r="A67" s="26" t="s">
        <v>6</v>
      </c>
      <c r="B67" s="26" t="s">
        <v>155</v>
      </c>
      <c r="C67" s="27" t="s">
        <v>43</v>
      </c>
      <c r="D67" s="27">
        <v>2024.0</v>
      </c>
      <c r="E67" s="38" t="s">
        <v>103</v>
      </c>
      <c r="F67" s="40" t="s">
        <v>96</v>
      </c>
      <c r="G67" s="40" t="s">
        <v>9</v>
      </c>
      <c r="H67" s="41" t="s">
        <v>16</v>
      </c>
      <c r="I67" s="40" t="s">
        <v>14</v>
      </c>
      <c r="J67" s="25" t="s">
        <v>14</v>
      </c>
      <c r="K67" s="40" t="s">
        <v>15</v>
      </c>
      <c r="L67" s="40" t="s">
        <v>15</v>
      </c>
      <c r="M67" s="40" t="s">
        <v>97</v>
      </c>
      <c r="N67" s="40" t="s">
        <v>11</v>
      </c>
      <c r="O67" s="40" t="s">
        <v>13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4.25" customHeight="1">
      <c r="A68" s="26" t="s">
        <v>6</v>
      </c>
      <c r="B68" s="26" t="s">
        <v>156</v>
      </c>
      <c r="C68" s="27" t="s">
        <v>46</v>
      </c>
      <c r="D68" s="27">
        <v>2024.0</v>
      </c>
      <c r="E68" s="25" t="s">
        <v>106</v>
      </c>
      <c r="F68" s="40" t="s">
        <v>96</v>
      </c>
      <c r="G68" s="40" t="s">
        <v>9</v>
      </c>
      <c r="H68" s="41" t="s">
        <v>17</v>
      </c>
      <c r="I68" s="40" t="s">
        <v>14</v>
      </c>
      <c r="J68" s="25" t="s">
        <v>14</v>
      </c>
      <c r="K68" s="40" t="s">
        <v>15</v>
      </c>
      <c r="L68" s="40" t="s">
        <v>15</v>
      </c>
      <c r="M68" s="40" t="s">
        <v>97</v>
      </c>
      <c r="N68" s="40" t="s">
        <v>11</v>
      </c>
      <c r="O68" s="40" t="s">
        <v>13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4.25" customHeight="1">
      <c r="A69" s="26" t="s">
        <v>6</v>
      </c>
      <c r="B69" s="26" t="s">
        <v>157</v>
      </c>
      <c r="C69" s="27" t="s">
        <v>51</v>
      </c>
      <c r="D69" s="27">
        <v>2024.0</v>
      </c>
      <c r="E69" s="25" t="s">
        <v>158</v>
      </c>
      <c r="F69" s="41" t="s">
        <v>159</v>
      </c>
      <c r="G69" s="40" t="s">
        <v>13</v>
      </c>
      <c r="H69" s="41" t="s">
        <v>17</v>
      </c>
      <c r="I69" s="40" t="s">
        <v>14</v>
      </c>
      <c r="J69" s="40" t="s">
        <v>9</v>
      </c>
      <c r="K69" s="40" t="s">
        <v>76</v>
      </c>
      <c r="L69" s="40" t="s">
        <v>15</v>
      </c>
      <c r="M69" s="40" t="s">
        <v>97</v>
      </c>
      <c r="N69" s="40" t="s">
        <v>11</v>
      </c>
      <c r="O69" s="40" t="s">
        <v>13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4.25" customHeight="1">
      <c r="A70" s="26" t="s">
        <v>6</v>
      </c>
      <c r="B70" s="26" t="s">
        <v>59</v>
      </c>
      <c r="C70" s="27" t="s">
        <v>60</v>
      </c>
      <c r="D70" s="27">
        <v>2024.0</v>
      </c>
      <c r="E70" s="25" t="s">
        <v>160</v>
      </c>
      <c r="F70" s="41" t="s">
        <v>38</v>
      </c>
      <c r="G70" s="40" t="s">
        <v>11</v>
      </c>
      <c r="H70" s="41" t="s">
        <v>17</v>
      </c>
      <c r="I70" s="40" t="s">
        <v>11</v>
      </c>
      <c r="J70" s="40" t="s">
        <v>9</v>
      </c>
      <c r="K70" s="41" t="s">
        <v>38</v>
      </c>
      <c r="L70" s="40" t="s">
        <v>15</v>
      </c>
      <c r="M70" s="40" t="s">
        <v>97</v>
      </c>
      <c r="N70" s="40" t="s">
        <v>13</v>
      </c>
      <c r="O70" s="40" t="s">
        <v>13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5.0" customHeight="1">
      <c r="A71" s="26" t="s">
        <v>6</v>
      </c>
      <c r="B71" s="26" t="s">
        <v>161</v>
      </c>
      <c r="C71" s="27" t="s">
        <v>63</v>
      </c>
      <c r="D71" s="27">
        <v>2024.0</v>
      </c>
      <c r="E71" s="25" t="s">
        <v>162</v>
      </c>
      <c r="F71" s="40" t="s">
        <v>96</v>
      </c>
      <c r="G71" s="40" t="s">
        <v>11</v>
      </c>
      <c r="H71" s="41" t="s">
        <v>17</v>
      </c>
      <c r="I71" s="40" t="s">
        <v>14</v>
      </c>
      <c r="J71" s="25" t="s">
        <v>14</v>
      </c>
      <c r="K71" s="40" t="s">
        <v>15</v>
      </c>
      <c r="L71" s="40" t="s">
        <v>15</v>
      </c>
      <c r="M71" s="40" t="s">
        <v>97</v>
      </c>
      <c r="N71" s="40" t="s">
        <v>11</v>
      </c>
      <c r="O71" s="40" t="s">
        <v>13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3.5" customHeight="1">
      <c r="A72" s="26" t="s">
        <v>7</v>
      </c>
      <c r="B72" s="26" t="s">
        <v>163</v>
      </c>
      <c r="C72" s="27" t="s">
        <v>35</v>
      </c>
      <c r="D72" s="27">
        <v>2024.0</v>
      </c>
      <c r="E72" s="27" t="s">
        <v>164</v>
      </c>
      <c r="F72" s="40" t="s">
        <v>96</v>
      </c>
      <c r="G72" s="40" t="s">
        <v>9</v>
      </c>
      <c r="H72" s="40" t="s">
        <v>16</v>
      </c>
      <c r="I72" s="40" t="s">
        <v>14</v>
      </c>
      <c r="J72" s="40" t="s">
        <v>9</v>
      </c>
      <c r="K72" s="41" t="s">
        <v>76</v>
      </c>
      <c r="L72" s="41" t="s">
        <v>15</v>
      </c>
      <c r="M72" s="40" t="s">
        <v>15</v>
      </c>
      <c r="N72" s="41" t="s">
        <v>11</v>
      </c>
      <c r="O72" s="40" t="s">
        <v>13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4.25" customHeight="1">
      <c r="A73" s="26" t="s">
        <v>7</v>
      </c>
      <c r="B73" s="26" t="s">
        <v>165</v>
      </c>
      <c r="C73" s="27" t="s">
        <v>35</v>
      </c>
      <c r="D73" s="27">
        <v>2024.0</v>
      </c>
      <c r="E73" s="25" t="s">
        <v>121</v>
      </c>
      <c r="F73" s="40" t="s">
        <v>96</v>
      </c>
      <c r="G73" s="40" t="s">
        <v>8</v>
      </c>
      <c r="H73" s="40" t="s">
        <v>16</v>
      </c>
      <c r="I73" s="40" t="s">
        <v>8</v>
      </c>
      <c r="J73" s="40" t="s">
        <v>13</v>
      </c>
      <c r="K73" s="40" t="s">
        <v>15</v>
      </c>
      <c r="L73" s="41" t="s">
        <v>15</v>
      </c>
      <c r="M73" s="40" t="s">
        <v>15</v>
      </c>
      <c r="N73" s="40" t="s">
        <v>9</v>
      </c>
      <c r="O73" s="40" t="s">
        <v>13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4.25" customHeight="1">
      <c r="A74" s="26" t="s">
        <v>7</v>
      </c>
      <c r="B74" s="26" t="s">
        <v>166</v>
      </c>
      <c r="C74" s="27" t="s">
        <v>35</v>
      </c>
      <c r="D74" s="27">
        <v>2024.0</v>
      </c>
      <c r="E74" s="27" t="s">
        <v>123</v>
      </c>
      <c r="F74" s="40" t="s">
        <v>96</v>
      </c>
      <c r="G74" s="40" t="s">
        <v>9</v>
      </c>
      <c r="H74" s="40" t="s">
        <v>17</v>
      </c>
      <c r="I74" s="25" t="s">
        <v>14</v>
      </c>
      <c r="J74" s="40" t="s">
        <v>14</v>
      </c>
      <c r="K74" s="40" t="s">
        <v>15</v>
      </c>
      <c r="L74" s="40" t="s">
        <v>13</v>
      </c>
      <c r="M74" s="40" t="s">
        <v>15</v>
      </c>
      <c r="N74" s="41" t="s">
        <v>11</v>
      </c>
      <c r="O74" s="40" t="s">
        <v>11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4.25" customHeight="1">
      <c r="A75" s="26" t="s">
        <v>7</v>
      </c>
      <c r="B75" s="26" t="s">
        <v>167</v>
      </c>
      <c r="C75" s="27" t="s">
        <v>35</v>
      </c>
      <c r="D75" s="27">
        <v>2024.0</v>
      </c>
      <c r="E75" s="42" t="s">
        <v>79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4.25" customHeight="1">
      <c r="A76" s="26" t="s">
        <v>7</v>
      </c>
      <c r="B76" s="26" t="s">
        <v>168</v>
      </c>
      <c r="C76" s="27" t="s">
        <v>43</v>
      </c>
      <c r="D76" s="27">
        <v>2024.0</v>
      </c>
      <c r="E76" s="25" t="s">
        <v>169</v>
      </c>
      <c r="F76" s="40" t="s">
        <v>96</v>
      </c>
      <c r="G76" s="40" t="s">
        <v>8</v>
      </c>
      <c r="H76" s="40" t="s">
        <v>16</v>
      </c>
      <c r="I76" s="40" t="s">
        <v>9</v>
      </c>
      <c r="J76" s="40" t="s">
        <v>13</v>
      </c>
      <c r="K76" s="40" t="s">
        <v>15</v>
      </c>
      <c r="L76" s="41" t="s">
        <v>15</v>
      </c>
      <c r="M76" s="40" t="s">
        <v>15</v>
      </c>
      <c r="N76" s="40" t="s">
        <v>9</v>
      </c>
      <c r="O76" s="40" t="s">
        <v>13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4.25" customHeight="1">
      <c r="A77" s="26" t="s">
        <v>7</v>
      </c>
      <c r="B77" s="26" t="s">
        <v>170</v>
      </c>
      <c r="C77" s="27" t="s">
        <v>43</v>
      </c>
      <c r="D77" s="27">
        <v>2024.0</v>
      </c>
      <c r="E77" s="25" t="s">
        <v>171</v>
      </c>
      <c r="F77" s="40" t="s">
        <v>96</v>
      </c>
      <c r="G77" s="40" t="s">
        <v>8</v>
      </c>
      <c r="H77" s="40" t="s">
        <v>17</v>
      </c>
      <c r="I77" s="40" t="s">
        <v>9</v>
      </c>
      <c r="J77" s="40" t="s">
        <v>13</v>
      </c>
      <c r="K77" s="40" t="s">
        <v>15</v>
      </c>
      <c r="L77" s="41" t="s">
        <v>15</v>
      </c>
      <c r="M77" s="40" t="s">
        <v>15</v>
      </c>
      <c r="N77" s="40" t="s">
        <v>9</v>
      </c>
      <c r="O77" s="40" t="s">
        <v>9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4.25" customHeight="1">
      <c r="A78" s="26" t="s">
        <v>7</v>
      </c>
      <c r="B78" s="26" t="s">
        <v>172</v>
      </c>
      <c r="C78" s="27" t="s">
        <v>46</v>
      </c>
      <c r="D78" s="27">
        <v>2024.0</v>
      </c>
      <c r="E78" s="27" t="s">
        <v>173</v>
      </c>
      <c r="F78" s="40" t="s">
        <v>96</v>
      </c>
      <c r="G78" s="40" t="s">
        <v>8</v>
      </c>
      <c r="H78" s="40" t="s">
        <v>16</v>
      </c>
      <c r="I78" s="40" t="s">
        <v>13</v>
      </c>
      <c r="J78" s="40" t="s">
        <v>11</v>
      </c>
      <c r="K78" s="40" t="s">
        <v>53</v>
      </c>
      <c r="L78" s="41" t="s">
        <v>15</v>
      </c>
      <c r="M78" s="40" t="s">
        <v>15</v>
      </c>
      <c r="N78" s="40" t="s">
        <v>9</v>
      </c>
      <c r="O78" s="40" t="s">
        <v>9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4.25" customHeight="1">
      <c r="A79" s="26" t="s">
        <v>7</v>
      </c>
      <c r="B79" s="26" t="s">
        <v>174</v>
      </c>
      <c r="C79" s="27" t="s">
        <v>46</v>
      </c>
      <c r="D79" s="27">
        <v>2024.0</v>
      </c>
      <c r="E79" s="27" t="s">
        <v>175</v>
      </c>
      <c r="F79" s="40" t="s">
        <v>96</v>
      </c>
      <c r="G79" s="40" t="s">
        <v>13</v>
      </c>
      <c r="H79" s="40" t="s">
        <v>17</v>
      </c>
      <c r="I79" s="40" t="s">
        <v>11</v>
      </c>
      <c r="J79" s="25" t="s">
        <v>14</v>
      </c>
      <c r="K79" s="40" t="s">
        <v>15</v>
      </c>
      <c r="L79" s="41" t="s">
        <v>15</v>
      </c>
      <c r="M79" s="40" t="s">
        <v>15</v>
      </c>
      <c r="N79" s="40" t="s">
        <v>11</v>
      </c>
      <c r="O79" s="40" t="s">
        <v>13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4.25" customHeight="1">
      <c r="A80" s="26" t="s">
        <v>7</v>
      </c>
      <c r="B80" s="26" t="s">
        <v>176</v>
      </c>
      <c r="C80" s="27" t="s">
        <v>46</v>
      </c>
      <c r="D80" s="27">
        <v>2024.0</v>
      </c>
      <c r="E80" s="25" t="s">
        <v>177</v>
      </c>
      <c r="F80" s="40" t="s">
        <v>96</v>
      </c>
      <c r="G80" s="40" t="s">
        <v>11</v>
      </c>
      <c r="H80" s="40" t="s">
        <v>17</v>
      </c>
      <c r="I80" s="40" t="s">
        <v>13</v>
      </c>
      <c r="J80" s="25" t="s">
        <v>14</v>
      </c>
      <c r="K80" s="40" t="s">
        <v>15</v>
      </c>
      <c r="L80" s="41" t="s">
        <v>15</v>
      </c>
      <c r="M80" s="40" t="s">
        <v>15</v>
      </c>
      <c r="N80" s="40" t="s">
        <v>11</v>
      </c>
      <c r="O80" s="40" t="s">
        <v>11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4.25" customHeight="1">
      <c r="A81" s="26" t="s">
        <v>7</v>
      </c>
      <c r="B81" s="26" t="s">
        <v>178</v>
      </c>
      <c r="C81" s="27" t="s">
        <v>57</v>
      </c>
      <c r="D81" s="27">
        <v>2024.0</v>
      </c>
      <c r="E81" s="27" t="s">
        <v>179</v>
      </c>
      <c r="F81" s="40" t="s">
        <v>96</v>
      </c>
      <c r="G81" s="40" t="s">
        <v>8</v>
      </c>
      <c r="H81" s="40" t="s">
        <v>16</v>
      </c>
      <c r="I81" s="40" t="s">
        <v>13</v>
      </c>
      <c r="J81" s="25" t="s">
        <v>14</v>
      </c>
      <c r="K81" s="40" t="s">
        <v>15</v>
      </c>
      <c r="L81" s="41" t="s">
        <v>15</v>
      </c>
      <c r="M81" s="40" t="s">
        <v>15</v>
      </c>
      <c r="N81" s="40" t="s">
        <v>9</v>
      </c>
      <c r="O81" s="40" t="s">
        <v>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4.25" customHeight="1">
      <c r="A82" s="26" t="s">
        <v>7</v>
      </c>
      <c r="B82" s="26" t="s">
        <v>180</v>
      </c>
      <c r="C82" s="27" t="s">
        <v>51</v>
      </c>
      <c r="D82" s="27">
        <v>2024.0</v>
      </c>
      <c r="E82" s="27" t="s">
        <v>134</v>
      </c>
      <c r="F82" s="41" t="s">
        <v>38</v>
      </c>
      <c r="G82" s="40" t="s">
        <v>9</v>
      </c>
      <c r="H82" s="40" t="s">
        <v>16</v>
      </c>
      <c r="I82" s="40" t="s">
        <v>13</v>
      </c>
      <c r="J82" s="27" t="s">
        <v>9</v>
      </c>
      <c r="K82" s="40" t="s">
        <v>38</v>
      </c>
      <c r="L82" s="41" t="s">
        <v>15</v>
      </c>
      <c r="M82" s="40" t="s">
        <v>15</v>
      </c>
      <c r="N82" s="40" t="s">
        <v>11</v>
      </c>
      <c r="O82" s="40" t="s">
        <v>11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4.25" customHeight="1">
      <c r="A83" s="26" t="s">
        <v>7</v>
      </c>
      <c r="B83" s="26" t="s">
        <v>181</v>
      </c>
      <c r="C83" s="27" t="s">
        <v>182</v>
      </c>
      <c r="D83" s="27">
        <v>2024.0</v>
      </c>
      <c r="E83" s="25" t="s">
        <v>183</v>
      </c>
      <c r="F83" s="40" t="s">
        <v>37</v>
      </c>
      <c r="G83" s="40" t="s">
        <v>13</v>
      </c>
      <c r="H83" s="40" t="s">
        <v>17</v>
      </c>
      <c r="I83" s="40" t="s">
        <v>13</v>
      </c>
      <c r="J83" s="41" t="s">
        <v>8</v>
      </c>
      <c r="K83" s="41" t="s">
        <v>76</v>
      </c>
      <c r="L83" s="41" t="s">
        <v>15</v>
      </c>
      <c r="M83" s="40" t="s">
        <v>97</v>
      </c>
      <c r="N83" s="40" t="s">
        <v>9</v>
      </c>
      <c r="O83" s="41" t="s">
        <v>13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4.25" customHeight="1">
      <c r="A84" s="26" t="s">
        <v>7</v>
      </c>
      <c r="B84" s="26" t="s">
        <v>184</v>
      </c>
      <c r="C84" s="27" t="s">
        <v>60</v>
      </c>
      <c r="D84" s="27">
        <v>2024.0</v>
      </c>
      <c r="E84" s="25" t="s">
        <v>106</v>
      </c>
      <c r="F84" s="40" t="s">
        <v>185</v>
      </c>
      <c r="G84" s="40" t="s">
        <v>9</v>
      </c>
      <c r="H84" s="40" t="s">
        <v>16</v>
      </c>
      <c r="I84" s="40" t="s">
        <v>14</v>
      </c>
      <c r="J84" s="25" t="s">
        <v>14</v>
      </c>
      <c r="K84" s="40" t="s">
        <v>15</v>
      </c>
      <c r="L84" s="40" t="s">
        <v>11</v>
      </c>
      <c r="M84" s="40" t="s">
        <v>97</v>
      </c>
      <c r="N84" s="40" t="s">
        <v>9</v>
      </c>
      <c r="O84" s="40" t="s">
        <v>8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4.25" customHeight="1">
      <c r="A85" s="26" t="s">
        <v>7</v>
      </c>
      <c r="B85" s="26" t="s">
        <v>186</v>
      </c>
      <c r="C85" s="27" t="s">
        <v>60</v>
      </c>
      <c r="D85" s="27">
        <v>2024.0</v>
      </c>
      <c r="E85" s="27" t="s">
        <v>187</v>
      </c>
      <c r="F85" s="40" t="s">
        <v>96</v>
      </c>
      <c r="G85" s="40" t="s">
        <v>9</v>
      </c>
      <c r="H85" s="40" t="s">
        <v>16</v>
      </c>
      <c r="I85" s="40" t="s">
        <v>9</v>
      </c>
      <c r="J85" s="25" t="s">
        <v>14</v>
      </c>
      <c r="K85" s="40" t="s">
        <v>15</v>
      </c>
      <c r="L85" s="41" t="s">
        <v>15</v>
      </c>
      <c r="M85" s="40" t="s">
        <v>15</v>
      </c>
      <c r="N85" s="40" t="s">
        <v>9</v>
      </c>
      <c r="O85" s="40" t="s">
        <v>11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4.25" customHeight="1">
      <c r="A86" s="26" t="s">
        <v>7</v>
      </c>
      <c r="B86" s="26" t="s">
        <v>188</v>
      </c>
      <c r="C86" s="27" t="s">
        <v>63</v>
      </c>
      <c r="D86" s="27">
        <v>2024.0</v>
      </c>
      <c r="E86" s="27" t="s">
        <v>189</v>
      </c>
      <c r="F86" s="40" t="s">
        <v>96</v>
      </c>
      <c r="G86" s="40" t="s">
        <v>9</v>
      </c>
      <c r="H86" s="40" t="s">
        <v>16</v>
      </c>
      <c r="I86" s="40" t="s">
        <v>13</v>
      </c>
      <c r="J86" s="25" t="s">
        <v>14</v>
      </c>
      <c r="K86" s="40" t="s">
        <v>15</v>
      </c>
      <c r="L86" s="41" t="s">
        <v>15</v>
      </c>
      <c r="M86" s="40" t="s">
        <v>15</v>
      </c>
      <c r="N86" s="40" t="s">
        <v>9</v>
      </c>
      <c r="O86" s="40" t="s">
        <v>11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4.25" customHeight="1">
      <c r="A87" s="26" t="s">
        <v>7</v>
      </c>
      <c r="B87" s="26" t="s">
        <v>190</v>
      </c>
      <c r="C87" s="27" t="s">
        <v>63</v>
      </c>
      <c r="D87" s="27">
        <v>2024.0</v>
      </c>
      <c r="E87" s="27" t="s">
        <v>191</v>
      </c>
      <c r="F87" s="40" t="s">
        <v>96</v>
      </c>
      <c r="G87" s="40" t="s">
        <v>11</v>
      </c>
      <c r="H87" s="40" t="s">
        <v>17</v>
      </c>
      <c r="I87" s="40" t="s">
        <v>11</v>
      </c>
      <c r="J87" s="25" t="s">
        <v>14</v>
      </c>
      <c r="K87" s="40" t="s">
        <v>15</v>
      </c>
      <c r="L87" s="41" t="s">
        <v>15</v>
      </c>
      <c r="M87" s="40" t="s">
        <v>15</v>
      </c>
      <c r="N87" s="40" t="s">
        <v>13</v>
      </c>
      <c r="O87" s="40" t="s">
        <v>11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4.25" customHeight="1">
      <c r="A88" s="25"/>
      <c r="B88" s="26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4.25" customHeight="1">
      <c r="A89" s="25"/>
      <c r="B89" s="26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4.25" customHeight="1">
      <c r="A90" s="25"/>
      <c r="B90" s="26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4.25" customHeight="1">
      <c r="A91" s="25"/>
      <c r="B91" s="26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4.25" customHeight="1">
      <c r="A92" s="25"/>
      <c r="B92" s="26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4.25" customHeight="1">
      <c r="A93" s="25"/>
      <c r="B93" s="26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4.25" customHeight="1">
      <c r="A94" s="25"/>
      <c r="B94" s="26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4.25" customHeight="1">
      <c r="A95" s="25"/>
      <c r="B95" s="26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4.25" customHeight="1">
      <c r="A96" s="25"/>
      <c r="B96" s="2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4.25" customHeight="1">
      <c r="A97" s="25"/>
      <c r="B97" s="26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4.25" customHeight="1">
      <c r="A98" s="25"/>
      <c r="B98" s="26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4.25" customHeight="1">
      <c r="A99" s="25"/>
      <c r="B99" s="26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4.25" customHeight="1">
      <c r="A100" s="25"/>
      <c r="B100" s="26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4.25" customHeight="1">
      <c r="A101" s="25"/>
      <c r="B101" s="26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4.25" customHeight="1">
      <c r="A102" s="25"/>
      <c r="B102" s="2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4.25" customHeight="1">
      <c r="A103" s="25"/>
      <c r="B103" s="2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4.25" customHeight="1">
      <c r="A104" s="25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4.25" customHeight="1">
      <c r="A105" s="25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4.25" customHeight="1">
      <c r="A106" s="25"/>
      <c r="B106" s="2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4.25" customHeight="1">
      <c r="A107" s="25"/>
      <c r="B107" s="26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4.25" customHeight="1">
      <c r="A108" s="25"/>
      <c r="B108" s="26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4.25" customHeight="1">
      <c r="A109" s="25"/>
      <c r="B109" s="26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4.25" customHeight="1">
      <c r="A110" s="25"/>
      <c r="B110" s="26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4.25" customHeight="1">
      <c r="A111" s="25"/>
      <c r="B111" s="26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4.25" customHeight="1">
      <c r="A112" s="25"/>
      <c r="B112" s="26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4.25" customHeight="1">
      <c r="A113" s="25"/>
      <c r="B113" s="26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4.25" customHeight="1">
      <c r="A114" s="25"/>
      <c r="B114" s="26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4.25" customHeight="1">
      <c r="A115" s="25"/>
      <c r="B115" s="26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4.25" customHeight="1">
      <c r="A116" s="25"/>
      <c r="B116" s="2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4.25" customHeight="1">
      <c r="A117" s="25"/>
      <c r="B117" s="26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4.25" customHeight="1">
      <c r="A118" s="25"/>
      <c r="B118" s="26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4.25" customHeight="1">
      <c r="A119" s="25"/>
      <c r="B119" s="26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4.25" customHeight="1">
      <c r="A120" s="25"/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4.25" customHeight="1">
      <c r="A121" s="25"/>
      <c r="B121" s="26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4.25" customHeight="1">
      <c r="A122" s="25"/>
      <c r="B122" s="26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4.25" customHeight="1">
      <c r="A123" s="25"/>
      <c r="B123" s="26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4.25" customHeight="1">
      <c r="A124" s="25"/>
      <c r="B124" s="26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4.25" customHeight="1">
      <c r="A125" s="25"/>
      <c r="B125" s="26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4.25" customHeight="1">
      <c r="A126" s="25"/>
      <c r="B126" s="26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4.25" customHeight="1">
      <c r="A127" s="25"/>
      <c r="B127" s="26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4.25" customHeight="1">
      <c r="A128" s="25"/>
      <c r="B128" s="26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4.25" customHeight="1">
      <c r="A129" s="25"/>
      <c r="B129" s="26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4.25" customHeight="1">
      <c r="A130" s="25"/>
      <c r="B130" s="26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4.25" customHeight="1">
      <c r="A131" s="25"/>
      <c r="B131" s="26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4.25" customHeight="1">
      <c r="A132" s="25"/>
      <c r="B132" s="26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4.25" customHeight="1">
      <c r="A133" s="25"/>
      <c r="B133" s="26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4.25" customHeight="1">
      <c r="A134" s="25"/>
      <c r="B134" s="26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4.25" customHeight="1">
      <c r="A135" s="25"/>
      <c r="B135" s="26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4.25" customHeight="1">
      <c r="A136" s="25"/>
      <c r="B136" s="26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4.25" customHeight="1">
      <c r="A137" s="25"/>
      <c r="B137" s="26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4.25" customHeight="1">
      <c r="A138" s="25"/>
      <c r="B138" s="26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4.25" customHeight="1">
      <c r="A139" s="25"/>
      <c r="B139" s="26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4.25" customHeight="1">
      <c r="A140" s="25"/>
      <c r="B140" s="26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4.25" customHeight="1">
      <c r="A141" s="25"/>
      <c r="B141" s="2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4.25" customHeight="1">
      <c r="A142" s="25"/>
      <c r="B142" s="26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4.25" customHeight="1">
      <c r="A143" s="25"/>
      <c r="B143" s="26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4.25" customHeight="1">
      <c r="A144" s="25"/>
      <c r="B144" s="26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4.25" customHeight="1">
      <c r="A145" s="25"/>
      <c r="B145" s="26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4.25" customHeight="1">
      <c r="A146" s="25"/>
      <c r="B146" s="26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4.25" customHeight="1">
      <c r="A147" s="25"/>
      <c r="B147" s="26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4.25" customHeight="1">
      <c r="A148" s="25"/>
      <c r="B148" s="26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4.25" customHeight="1">
      <c r="A149" s="25"/>
      <c r="B149" s="26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4.25" customHeight="1">
      <c r="A150" s="25"/>
      <c r="B150" s="26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4.25" customHeight="1">
      <c r="A151" s="25"/>
      <c r="B151" s="26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4.25" customHeight="1">
      <c r="A152" s="25"/>
      <c r="B152" s="26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4.25" customHeight="1">
      <c r="A153" s="25"/>
      <c r="B153" s="26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4.25" customHeight="1">
      <c r="A154" s="25"/>
      <c r="B154" s="26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4.25" customHeight="1">
      <c r="A155" s="25"/>
      <c r="B155" s="26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4.25" customHeight="1">
      <c r="A156" s="25"/>
      <c r="B156" s="2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4.25" customHeight="1">
      <c r="A157" s="25"/>
      <c r="B157" s="2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4.25" customHeight="1">
      <c r="A158" s="25"/>
      <c r="B158" s="2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4.25" customHeight="1">
      <c r="A159" s="25"/>
      <c r="B159" s="2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4.25" customHeight="1">
      <c r="A160" s="25"/>
      <c r="B160" s="2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4.25" customHeight="1">
      <c r="A161" s="25"/>
      <c r="B161" s="2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4.25" customHeight="1">
      <c r="A162" s="25"/>
      <c r="B162" s="2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4.25" customHeight="1">
      <c r="A163" s="25"/>
      <c r="B163" s="2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4.25" customHeight="1">
      <c r="A164" s="25"/>
      <c r="B164" s="2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4.25" customHeight="1">
      <c r="A165" s="25"/>
      <c r="B165" s="2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4.25" customHeight="1">
      <c r="A166" s="25"/>
      <c r="B166" s="2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4.25" customHeight="1">
      <c r="A167" s="25"/>
      <c r="B167" s="2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4.25" customHeight="1">
      <c r="A168" s="25"/>
      <c r="B168" s="2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4.25" customHeight="1">
      <c r="A169" s="25"/>
      <c r="B169" s="2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4.25" customHeight="1">
      <c r="A170" s="25"/>
      <c r="B170" s="2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4.25" customHeight="1">
      <c r="A171" s="25"/>
      <c r="B171" s="2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4.25" customHeight="1">
      <c r="A172" s="25"/>
      <c r="B172" s="2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4.25" customHeight="1">
      <c r="A173" s="25"/>
      <c r="B173" s="2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4.25" customHeight="1">
      <c r="A174" s="25"/>
      <c r="B174" s="2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4.25" customHeight="1">
      <c r="A175" s="25"/>
      <c r="B175" s="2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4.25" customHeight="1">
      <c r="A176" s="25"/>
      <c r="B176" s="2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4.25" customHeight="1">
      <c r="A177" s="25"/>
      <c r="B177" s="2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4.25" customHeight="1">
      <c r="A178" s="25"/>
      <c r="B178" s="2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4.25" customHeight="1">
      <c r="A179" s="25"/>
      <c r="B179" s="2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4.25" customHeight="1">
      <c r="A180" s="25"/>
      <c r="B180" s="2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4.25" customHeight="1">
      <c r="A181" s="25"/>
      <c r="B181" s="2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4.25" customHeight="1">
      <c r="A182" s="25"/>
      <c r="B182" s="2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4.25" customHeight="1">
      <c r="A183" s="25"/>
      <c r="B183" s="2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4.25" customHeight="1">
      <c r="A184" s="25"/>
      <c r="B184" s="2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4.25" customHeight="1">
      <c r="A185" s="25"/>
      <c r="B185" s="2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4.25" customHeight="1">
      <c r="A186" s="25"/>
      <c r="B186" s="2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4.25" customHeight="1">
      <c r="A187" s="25"/>
      <c r="B187" s="2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4.25" customHeight="1">
      <c r="A188" s="25"/>
      <c r="B188" s="2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4.25" customHeight="1">
      <c r="A189" s="25"/>
      <c r="B189" s="2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4.25" customHeight="1">
      <c r="A190" s="25"/>
      <c r="B190" s="2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4.25" customHeight="1">
      <c r="A191" s="25"/>
      <c r="B191" s="2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4.25" customHeight="1">
      <c r="A192" s="25"/>
      <c r="B192" s="26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4.25" customHeight="1">
      <c r="A193" s="25"/>
      <c r="B193" s="26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4.25" customHeight="1">
      <c r="A194" s="25"/>
      <c r="B194" s="26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4.25" customHeight="1">
      <c r="A195" s="25"/>
      <c r="B195" s="26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4.25" customHeight="1">
      <c r="A196" s="25"/>
      <c r="B196" s="26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4.25" customHeight="1">
      <c r="A197" s="25"/>
      <c r="B197" s="26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4.25" customHeight="1">
      <c r="A198" s="25"/>
      <c r="B198" s="26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4.25" customHeight="1">
      <c r="A199" s="25"/>
      <c r="B199" s="26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4.25" customHeight="1">
      <c r="A200" s="25"/>
      <c r="B200" s="26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4.25" customHeight="1">
      <c r="A201" s="25"/>
      <c r="B201" s="26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4.25" customHeight="1">
      <c r="A202" s="25"/>
      <c r="B202" s="26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4.25" customHeight="1">
      <c r="A203" s="25"/>
      <c r="B203" s="26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4.25" customHeight="1">
      <c r="A204" s="25"/>
      <c r="B204" s="26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4.25" customHeight="1">
      <c r="A205" s="25"/>
      <c r="B205" s="26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4.25" customHeight="1">
      <c r="A206" s="25"/>
      <c r="B206" s="26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4.25" customHeight="1">
      <c r="A207" s="25"/>
      <c r="B207" s="26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4.25" customHeight="1">
      <c r="A208" s="25"/>
      <c r="B208" s="26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4.25" customHeight="1">
      <c r="A209" s="25"/>
      <c r="B209" s="26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4.25" customHeight="1">
      <c r="A210" s="25"/>
      <c r="B210" s="26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4.25" customHeight="1">
      <c r="A211" s="25"/>
      <c r="B211" s="26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4.25" customHeight="1">
      <c r="A212" s="25"/>
      <c r="B212" s="26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4.25" customHeight="1">
      <c r="A213" s="25"/>
      <c r="B213" s="26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4.25" customHeight="1">
      <c r="A214" s="25"/>
      <c r="B214" s="26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4.25" customHeight="1">
      <c r="A215" s="25"/>
      <c r="B215" s="26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4.25" customHeight="1">
      <c r="A216" s="25"/>
      <c r="B216" s="26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4.25" customHeight="1">
      <c r="A217" s="25"/>
      <c r="B217" s="26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4.25" customHeight="1">
      <c r="A218" s="25"/>
      <c r="B218" s="26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4.25" customHeight="1">
      <c r="A219" s="25"/>
      <c r="B219" s="26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4.25" customHeight="1">
      <c r="A220" s="25"/>
      <c r="B220" s="26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4.25" customHeight="1">
      <c r="A221" s="25"/>
      <c r="B221" s="26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4.25" customHeight="1">
      <c r="A222" s="25"/>
      <c r="B222" s="26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4.25" customHeight="1">
      <c r="A223" s="25"/>
      <c r="B223" s="26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4.25" customHeight="1">
      <c r="A224" s="25"/>
      <c r="B224" s="26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4.25" customHeight="1">
      <c r="A225" s="25"/>
      <c r="B225" s="26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4.25" customHeight="1">
      <c r="A226" s="25"/>
      <c r="B226" s="26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4.25" customHeight="1">
      <c r="A227" s="25"/>
      <c r="B227" s="26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4.25" customHeight="1">
      <c r="A228" s="25"/>
      <c r="B228" s="26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4.25" customHeight="1">
      <c r="A229" s="25"/>
      <c r="B229" s="26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4.25" customHeight="1">
      <c r="A230" s="25"/>
      <c r="B230" s="26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4.25" customHeight="1">
      <c r="A231" s="25"/>
      <c r="B231" s="26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4.25" customHeight="1">
      <c r="A232" s="25"/>
      <c r="B232" s="26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4.25" customHeight="1">
      <c r="A233" s="25"/>
      <c r="B233" s="26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4.25" customHeight="1">
      <c r="A234" s="25"/>
      <c r="B234" s="26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4.25" customHeight="1">
      <c r="A235" s="25"/>
      <c r="B235" s="26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4.25" customHeight="1">
      <c r="A236" s="25"/>
      <c r="B236" s="26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4.25" customHeight="1">
      <c r="A237" s="25"/>
      <c r="B237" s="26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4.25" customHeight="1">
      <c r="A238" s="25"/>
      <c r="B238" s="26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4.25" customHeight="1">
      <c r="A239" s="25"/>
      <c r="B239" s="26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4.25" customHeight="1">
      <c r="A240" s="25"/>
      <c r="B240" s="26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4.25" customHeight="1">
      <c r="A241" s="25"/>
      <c r="B241" s="26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4.25" customHeight="1">
      <c r="A242" s="25"/>
      <c r="B242" s="26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4.25" customHeight="1">
      <c r="A243" s="25"/>
      <c r="B243" s="26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4.25" customHeight="1">
      <c r="A244" s="25"/>
      <c r="B244" s="26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4.25" customHeight="1">
      <c r="A245" s="25"/>
      <c r="B245" s="26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4.25" customHeight="1">
      <c r="A246" s="25"/>
      <c r="B246" s="26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4.25" customHeight="1">
      <c r="A247" s="25"/>
      <c r="B247" s="26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4.25" customHeight="1">
      <c r="A248" s="25"/>
      <c r="B248" s="26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4.25" customHeight="1">
      <c r="A249" s="25"/>
      <c r="B249" s="26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4.25" customHeight="1">
      <c r="A250" s="25"/>
      <c r="B250" s="26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4.25" customHeight="1">
      <c r="A251" s="25"/>
      <c r="B251" s="26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4.25" customHeight="1">
      <c r="A252" s="25"/>
      <c r="B252" s="26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4.25" customHeight="1">
      <c r="A253" s="25"/>
      <c r="B253" s="26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4.25" customHeight="1">
      <c r="A254" s="25"/>
      <c r="B254" s="26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4.25" customHeight="1">
      <c r="A255" s="25"/>
      <c r="B255" s="26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4.25" customHeight="1">
      <c r="A256" s="25"/>
      <c r="B256" s="26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4.25" customHeight="1">
      <c r="A257" s="25"/>
      <c r="B257" s="26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4.25" customHeight="1">
      <c r="A258" s="25"/>
      <c r="B258" s="26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4.25" customHeight="1">
      <c r="A259" s="25"/>
      <c r="B259" s="26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4.25" customHeight="1">
      <c r="A260" s="25"/>
      <c r="B260" s="26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4.25" customHeight="1">
      <c r="A261" s="25"/>
      <c r="B261" s="26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4.25" customHeight="1">
      <c r="A262" s="25"/>
      <c r="B262" s="26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4.25" customHeight="1">
      <c r="A263" s="25"/>
      <c r="B263" s="26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4.25" customHeight="1">
      <c r="A264" s="25"/>
      <c r="B264" s="26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4.25" customHeight="1">
      <c r="A265" s="25"/>
      <c r="B265" s="26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4.25" customHeight="1">
      <c r="A266" s="25"/>
      <c r="B266" s="26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4.25" customHeight="1">
      <c r="A267" s="25"/>
      <c r="B267" s="26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4.25" customHeight="1">
      <c r="A268" s="25"/>
      <c r="B268" s="26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4.25" customHeight="1">
      <c r="A269" s="25"/>
      <c r="B269" s="26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4.25" customHeight="1">
      <c r="A270" s="25"/>
      <c r="B270" s="26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4.25" customHeight="1">
      <c r="A271" s="25"/>
      <c r="B271" s="26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4.25" customHeight="1">
      <c r="A272" s="25"/>
      <c r="B272" s="26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4.25" customHeight="1">
      <c r="A273" s="25"/>
      <c r="B273" s="26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4.25" customHeight="1">
      <c r="A274" s="25"/>
      <c r="B274" s="26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4.25" customHeight="1">
      <c r="A275" s="25"/>
      <c r="B275" s="26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4.25" customHeight="1">
      <c r="A276" s="25"/>
      <c r="B276" s="26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4.25" customHeight="1">
      <c r="A277" s="25"/>
      <c r="B277" s="26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4.25" customHeight="1">
      <c r="A278" s="25"/>
      <c r="B278" s="26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4.25" customHeight="1">
      <c r="A279" s="25"/>
      <c r="B279" s="26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4.25" customHeight="1">
      <c r="A280" s="25"/>
      <c r="B280" s="26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4.25" customHeight="1">
      <c r="A281" s="25"/>
      <c r="B281" s="26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4.25" customHeight="1">
      <c r="A282" s="25"/>
      <c r="B282" s="26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4.25" customHeight="1">
      <c r="A283" s="25"/>
      <c r="B283" s="26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4.25" customHeight="1">
      <c r="A284" s="25"/>
      <c r="B284" s="26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4.25" customHeight="1">
      <c r="A285" s="25"/>
      <c r="B285" s="26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4.25" customHeight="1">
      <c r="A286" s="25"/>
      <c r="B286" s="26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4.25" customHeight="1">
      <c r="A287" s="25"/>
      <c r="B287" s="26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4.25" customHeight="1">
      <c r="A288" s="25"/>
      <c r="B288" s="26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4.25" customHeight="1">
      <c r="A289" s="25"/>
      <c r="B289" s="26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4.25" customHeight="1">
      <c r="A290" s="25"/>
      <c r="B290" s="26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4.25" customHeight="1">
      <c r="A291" s="25"/>
      <c r="B291" s="26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4.25" customHeight="1">
      <c r="A292" s="25"/>
      <c r="B292" s="26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4.25" customHeight="1">
      <c r="A293" s="25"/>
      <c r="B293" s="26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4.25" customHeight="1">
      <c r="A294" s="25"/>
      <c r="B294" s="26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4.25" customHeight="1">
      <c r="A295" s="25"/>
      <c r="B295" s="26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4.25" customHeight="1">
      <c r="A296" s="25"/>
      <c r="B296" s="26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4.25" customHeight="1">
      <c r="A297" s="25"/>
      <c r="B297" s="26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4.25" customHeight="1">
      <c r="A298" s="25"/>
      <c r="B298" s="26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4.25" customHeight="1">
      <c r="A299" s="25"/>
      <c r="B299" s="26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4.25" customHeight="1">
      <c r="A300" s="25"/>
      <c r="B300" s="26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4.25" customHeight="1">
      <c r="A301" s="25"/>
      <c r="B301" s="26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4.25" customHeight="1">
      <c r="A302" s="25"/>
      <c r="B302" s="26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4.25" customHeight="1">
      <c r="A303" s="25"/>
      <c r="B303" s="26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4.25" customHeight="1">
      <c r="A304" s="25"/>
      <c r="B304" s="26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4.25" customHeight="1">
      <c r="A305" s="25"/>
      <c r="B305" s="26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4.25" customHeight="1">
      <c r="A306" s="25"/>
      <c r="B306" s="26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4.25" customHeight="1">
      <c r="A307" s="25"/>
      <c r="B307" s="26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4.25" customHeight="1">
      <c r="A308" s="25"/>
      <c r="B308" s="26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4.25" customHeight="1">
      <c r="A309" s="25"/>
      <c r="B309" s="26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4.25" customHeight="1">
      <c r="A310" s="25"/>
      <c r="B310" s="26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4.25" customHeight="1">
      <c r="A311" s="25"/>
      <c r="B311" s="26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4.25" customHeight="1">
      <c r="A312" s="25"/>
      <c r="B312" s="26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4.25" customHeight="1">
      <c r="A313" s="25"/>
      <c r="B313" s="26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4.25" customHeight="1">
      <c r="A314" s="25"/>
      <c r="B314" s="26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4.25" customHeight="1">
      <c r="A315" s="25"/>
      <c r="B315" s="26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4.25" customHeight="1">
      <c r="A316" s="25"/>
      <c r="B316" s="26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4.25" customHeight="1">
      <c r="A317" s="25"/>
      <c r="B317" s="26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4.25" customHeight="1">
      <c r="A318" s="25"/>
      <c r="B318" s="26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4.25" customHeight="1">
      <c r="A319" s="25"/>
      <c r="B319" s="26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4.25" customHeight="1">
      <c r="A320" s="25"/>
      <c r="B320" s="26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4.25" customHeight="1">
      <c r="A321" s="25"/>
      <c r="B321" s="26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4.25" customHeight="1">
      <c r="A322" s="25"/>
      <c r="B322" s="26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4.25" customHeight="1">
      <c r="A323" s="25"/>
      <c r="B323" s="26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4.25" customHeight="1">
      <c r="A324" s="25"/>
      <c r="B324" s="26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4.25" customHeight="1">
      <c r="A325" s="25"/>
      <c r="B325" s="26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4.25" customHeight="1">
      <c r="A326" s="25"/>
      <c r="B326" s="26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14.25" customHeight="1">
      <c r="A327" s="25"/>
      <c r="B327" s="26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14.25" customHeight="1">
      <c r="A328" s="25"/>
      <c r="B328" s="26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14.25" customHeight="1">
      <c r="A329" s="25"/>
      <c r="B329" s="2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14.25" customHeight="1">
      <c r="A330" s="25"/>
      <c r="B330" s="26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14.25" customHeight="1">
      <c r="A331" s="25"/>
      <c r="B331" s="2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14.25" customHeight="1">
      <c r="A332" s="25"/>
      <c r="B332" s="26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14.25" customHeight="1">
      <c r="A333" s="25"/>
      <c r="B333" s="26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14.25" customHeight="1">
      <c r="A334" s="25"/>
      <c r="B334" s="26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14.25" customHeight="1">
      <c r="A335" s="25"/>
      <c r="B335" s="26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14.25" customHeight="1">
      <c r="A336" s="25"/>
      <c r="B336" s="26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14.25" customHeight="1">
      <c r="A337" s="25"/>
      <c r="B337" s="26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14.25" customHeight="1">
      <c r="A338" s="25"/>
      <c r="B338" s="2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14.25" customHeight="1">
      <c r="A339" s="25"/>
      <c r="B339" s="2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14.25" customHeight="1">
      <c r="A340" s="25"/>
      <c r="B340" s="26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14.25" customHeight="1">
      <c r="A341" s="25"/>
      <c r="B341" s="26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14.25" customHeight="1">
      <c r="A342" s="25"/>
      <c r="B342" s="26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14.25" customHeight="1">
      <c r="A343" s="25"/>
      <c r="B343" s="26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14.25" customHeight="1">
      <c r="A344" s="25"/>
      <c r="B344" s="26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14.25" customHeight="1">
      <c r="A345" s="25"/>
      <c r="B345" s="26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14.25" customHeight="1">
      <c r="A346" s="25"/>
      <c r="B346" s="26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14.25" customHeight="1">
      <c r="A347" s="25"/>
      <c r="B347" s="2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14.25" customHeight="1">
      <c r="A348" s="25"/>
      <c r="B348" s="2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14.25" customHeight="1">
      <c r="A349" s="25"/>
      <c r="B349" s="26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14.25" customHeight="1">
      <c r="A350" s="25"/>
      <c r="B350" s="26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14.25" customHeight="1">
      <c r="A351" s="25"/>
      <c r="B351" s="2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14.25" customHeight="1">
      <c r="A352" s="25"/>
      <c r="B352" s="2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14.25" customHeight="1">
      <c r="A353" s="25"/>
      <c r="B353" s="26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14.25" customHeight="1">
      <c r="A354" s="25"/>
      <c r="B354" s="26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14.25" customHeight="1">
      <c r="A355" s="25"/>
      <c r="B355" s="26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14.25" customHeight="1">
      <c r="A356" s="25"/>
      <c r="B356" s="26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14.25" customHeight="1">
      <c r="A357" s="25"/>
      <c r="B357" s="26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4.25" customHeight="1">
      <c r="A358" s="25"/>
      <c r="B358" s="26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4.25" customHeight="1">
      <c r="A359" s="25"/>
      <c r="B359" s="26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4.25" customHeight="1">
      <c r="A360" s="25"/>
      <c r="B360" s="26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14.25" customHeight="1">
      <c r="A361" s="25"/>
      <c r="B361" s="26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14.25" customHeight="1">
      <c r="A362" s="25"/>
      <c r="B362" s="26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14.25" customHeight="1">
      <c r="A363" s="25"/>
      <c r="B363" s="26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4.25" customHeight="1">
      <c r="A364" s="25"/>
      <c r="B364" s="26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4.25" customHeight="1">
      <c r="A365" s="25"/>
      <c r="B365" s="26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4.25" customHeight="1">
      <c r="A366" s="25"/>
      <c r="B366" s="26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14.25" customHeight="1">
      <c r="A367" s="25"/>
      <c r="B367" s="26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14.25" customHeight="1">
      <c r="A368" s="25"/>
      <c r="B368" s="26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14.25" customHeight="1">
      <c r="A369" s="25"/>
      <c r="B369" s="26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14.25" customHeight="1">
      <c r="A370" s="25"/>
      <c r="B370" s="26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14.25" customHeight="1">
      <c r="A371" s="25"/>
      <c r="B371" s="26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14.25" customHeight="1">
      <c r="A372" s="25"/>
      <c r="B372" s="26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14.25" customHeight="1">
      <c r="A373" s="25"/>
      <c r="B373" s="26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14.25" customHeight="1">
      <c r="A374" s="25"/>
      <c r="B374" s="26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14.25" customHeight="1">
      <c r="A375" s="25"/>
      <c r="B375" s="26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14.25" customHeight="1">
      <c r="A376" s="25"/>
      <c r="B376" s="26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14.25" customHeight="1">
      <c r="A377" s="25"/>
      <c r="B377" s="26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14.25" customHeight="1">
      <c r="A378" s="25"/>
      <c r="B378" s="26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14.25" customHeight="1">
      <c r="A379" s="25"/>
      <c r="B379" s="26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14.25" customHeight="1">
      <c r="A380" s="25"/>
      <c r="B380" s="26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14.25" customHeight="1">
      <c r="A381" s="25"/>
      <c r="B381" s="26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14.25" customHeight="1">
      <c r="A382" s="25"/>
      <c r="B382" s="26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14.25" customHeight="1">
      <c r="A383" s="25"/>
      <c r="B383" s="26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14.25" customHeight="1">
      <c r="A384" s="25"/>
      <c r="B384" s="26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14.25" customHeight="1">
      <c r="A385" s="25"/>
      <c r="B385" s="26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14.25" customHeight="1">
      <c r="A386" s="25"/>
      <c r="B386" s="26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14.25" customHeight="1">
      <c r="A387" s="25"/>
      <c r="B387" s="26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14.25" customHeight="1">
      <c r="A388" s="25"/>
      <c r="B388" s="26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14.25" customHeight="1">
      <c r="A389" s="25"/>
      <c r="B389" s="26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14.25" customHeight="1">
      <c r="A390" s="25"/>
      <c r="B390" s="26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14.25" customHeight="1">
      <c r="A391" s="25"/>
      <c r="B391" s="26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14.25" customHeight="1">
      <c r="A392" s="25"/>
      <c r="B392" s="26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14.25" customHeight="1">
      <c r="A393" s="25"/>
      <c r="B393" s="26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14.25" customHeight="1">
      <c r="A394" s="25"/>
      <c r="B394" s="26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14.25" customHeight="1">
      <c r="A395" s="25"/>
      <c r="B395" s="26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14.25" customHeight="1">
      <c r="A396" s="25"/>
      <c r="B396" s="26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14.25" customHeight="1">
      <c r="A397" s="25"/>
      <c r="B397" s="26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14.25" customHeight="1">
      <c r="A398" s="25"/>
      <c r="B398" s="26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14.25" customHeight="1">
      <c r="A399" s="25"/>
      <c r="B399" s="26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14.25" customHeight="1">
      <c r="A400" s="25"/>
      <c r="B400" s="26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14.25" customHeight="1">
      <c r="A401" s="25"/>
      <c r="B401" s="26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14.25" customHeight="1">
      <c r="A402" s="25"/>
      <c r="B402" s="26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14.25" customHeight="1">
      <c r="A403" s="25"/>
      <c r="B403" s="26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14.25" customHeight="1">
      <c r="A404" s="25"/>
      <c r="B404" s="26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14.25" customHeight="1">
      <c r="A405" s="25"/>
      <c r="B405" s="26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14.25" customHeight="1">
      <c r="A406" s="25"/>
      <c r="B406" s="26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14.25" customHeight="1">
      <c r="A407" s="25"/>
      <c r="B407" s="26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14.25" customHeight="1">
      <c r="A408" s="25"/>
      <c r="B408" s="26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14.25" customHeight="1">
      <c r="A409" s="25"/>
      <c r="B409" s="26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14.25" customHeight="1">
      <c r="A410" s="25"/>
      <c r="B410" s="26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14.25" customHeight="1">
      <c r="A411" s="25"/>
      <c r="B411" s="26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14.25" customHeight="1">
      <c r="A412" s="25"/>
      <c r="B412" s="26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14.25" customHeight="1">
      <c r="A413" s="25"/>
      <c r="B413" s="26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14.25" customHeight="1">
      <c r="A414" s="25"/>
      <c r="B414" s="26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14.25" customHeight="1">
      <c r="A415" s="25"/>
      <c r="B415" s="26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14.25" customHeight="1">
      <c r="A416" s="25"/>
      <c r="B416" s="26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14.25" customHeight="1">
      <c r="A417" s="25"/>
      <c r="B417" s="26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14.25" customHeight="1">
      <c r="A418" s="25"/>
      <c r="B418" s="26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14.25" customHeight="1">
      <c r="A419" s="25"/>
      <c r="B419" s="26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14.25" customHeight="1">
      <c r="A420" s="25"/>
      <c r="B420" s="26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14.25" customHeight="1">
      <c r="A421" s="25"/>
      <c r="B421" s="26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14.25" customHeight="1">
      <c r="A422" s="25"/>
      <c r="B422" s="26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14.25" customHeight="1">
      <c r="A423" s="25"/>
      <c r="B423" s="26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14.25" customHeight="1">
      <c r="A424" s="25"/>
      <c r="B424" s="26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14.25" customHeight="1">
      <c r="A425" s="25"/>
      <c r="B425" s="26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14.25" customHeight="1">
      <c r="A426" s="25"/>
      <c r="B426" s="26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14.25" customHeight="1">
      <c r="A427" s="25"/>
      <c r="B427" s="26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14.25" customHeight="1">
      <c r="A428" s="25"/>
      <c r="B428" s="26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14.25" customHeight="1">
      <c r="A429" s="25"/>
      <c r="B429" s="26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14.25" customHeight="1">
      <c r="A430" s="25"/>
      <c r="B430" s="26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14.25" customHeight="1">
      <c r="A431" s="25"/>
      <c r="B431" s="26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14.25" customHeight="1">
      <c r="A432" s="25"/>
      <c r="B432" s="26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14.25" customHeight="1">
      <c r="A433" s="25"/>
      <c r="B433" s="26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14.25" customHeight="1">
      <c r="A434" s="25"/>
      <c r="B434" s="26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14.25" customHeight="1">
      <c r="A435" s="25"/>
      <c r="B435" s="26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14.25" customHeight="1">
      <c r="A436" s="25"/>
      <c r="B436" s="26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14.25" customHeight="1">
      <c r="A437" s="25"/>
      <c r="B437" s="26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14.25" customHeight="1">
      <c r="A438" s="25"/>
      <c r="B438" s="26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14.25" customHeight="1">
      <c r="A439" s="25"/>
      <c r="B439" s="26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14.25" customHeight="1">
      <c r="A440" s="25"/>
      <c r="B440" s="26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14.25" customHeight="1">
      <c r="A441" s="25"/>
      <c r="B441" s="26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14.25" customHeight="1">
      <c r="A442" s="25"/>
      <c r="B442" s="26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14.25" customHeight="1">
      <c r="A443" s="25"/>
      <c r="B443" s="26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14.25" customHeight="1">
      <c r="A444" s="25"/>
      <c r="B444" s="26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14.25" customHeight="1">
      <c r="A445" s="25"/>
      <c r="B445" s="26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14.25" customHeight="1">
      <c r="A446" s="25"/>
      <c r="B446" s="26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14.25" customHeight="1">
      <c r="A447" s="25"/>
      <c r="B447" s="26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14.25" customHeight="1">
      <c r="A448" s="25"/>
      <c r="B448" s="26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14.25" customHeight="1">
      <c r="A449" s="25"/>
      <c r="B449" s="26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14.25" customHeight="1">
      <c r="A450" s="25"/>
      <c r="B450" s="26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14.25" customHeight="1">
      <c r="A451" s="25"/>
      <c r="B451" s="26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14.25" customHeight="1">
      <c r="A452" s="25"/>
      <c r="B452" s="26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14.25" customHeight="1">
      <c r="A453" s="25"/>
      <c r="B453" s="26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14.25" customHeight="1">
      <c r="A454" s="25"/>
      <c r="B454" s="26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14.25" customHeight="1">
      <c r="A455" s="25"/>
      <c r="B455" s="26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14.25" customHeight="1">
      <c r="A456" s="25"/>
      <c r="B456" s="26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14.25" customHeight="1">
      <c r="A457" s="25"/>
      <c r="B457" s="26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14.25" customHeight="1">
      <c r="A458" s="25"/>
      <c r="B458" s="26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14.25" customHeight="1">
      <c r="A459" s="25"/>
      <c r="B459" s="26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14.25" customHeight="1">
      <c r="A460" s="25"/>
      <c r="B460" s="26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14.25" customHeight="1">
      <c r="A461" s="25"/>
      <c r="B461" s="26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14.25" customHeight="1">
      <c r="A462" s="25"/>
      <c r="B462" s="26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14.25" customHeight="1">
      <c r="A463" s="25"/>
      <c r="B463" s="26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14.25" customHeight="1">
      <c r="A464" s="25"/>
      <c r="B464" s="26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14.25" customHeight="1">
      <c r="A465" s="25"/>
      <c r="B465" s="26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14.25" customHeight="1">
      <c r="A466" s="25"/>
      <c r="B466" s="26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14.25" customHeight="1">
      <c r="A467" s="25"/>
      <c r="B467" s="26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14.25" customHeight="1">
      <c r="A468" s="25"/>
      <c r="B468" s="26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14.25" customHeight="1">
      <c r="A469" s="25"/>
      <c r="B469" s="26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14.25" customHeight="1">
      <c r="A470" s="25"/>
      <c r="B470" s="26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14.25" customHeight="1">
      <c r="A471" s="25"/>
      <c r="B471" s="26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14.25" customHeight="1">
      <c r="A472" s="25"/>
      <c r="B472" s="26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14.25" customHeight="1">
      <c r="A473" s="25"/>
      <c r="B473" s="26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14.25" customHeight="1">
      <c r="A474" s="25"/>
      <c r="B474" s="26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14.25" customHeight="1">
      <c r="A475" s="25"/>
      <c r="B475" s="26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14.25" customHeight="1">
      <c r="A476" s="25"/>
      <c r="B476" s="26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14.25" customHeight="1">
      <c r="A477" s="25"/>
      <c r="B477" s="26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14.25" customHeight="1">
      <c r="A478" s="25"/>
      <c r="B478" s="26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14.25" customHeight="1">
      <c r="A479" s="25"/>
      <c r="B479" s="26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14.25" customHeight="1">
      <c r="A480" s="25"/>
      <c r="B480" s="26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14.25" customHeight="1">
      <c r="A481" s="25"/>
      <c r="B481" s="26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14.25" customHeight="1">
      <c r="A482" s="25"/>
      <c r="B482" s="26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14.25" customHeight="1">
      <c r="A483" s="25"/>
      <c r="B483" s="26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14.25" customHeight="1">
      <c r="A484" s="25"/>
      <c r="B484" s="26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14.25" customHeight="1">
      <c r="A485" s="25"/>
      <c r="B485" s="26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14.25" customHeight="1">
      <c r="A486" s="25"/>
      <c r="B486" s="26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14.25" customHeight="1">
      <c r="A487" s="25"/>
      <c r="B487" s="26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14.25" customHeight="1">
      <c r="A488" s="25"/>
      <c r="B488" s="26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14.25" customHeight="1">
      <c r="A489" s="25"/>
      <c r="B489" s="26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14.25" customHeight="1">
      <c r="A490" s="25"/>
      <c r="B490" s="26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14.25" customHeight="1">
      <c r="A491" s="25"/>
      <c r="B491" s="26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14.25" customHeight="1">
      <c r="A492" s="25"/>
      <c r="B492" s="26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14.25" customHeight="1">
      <c r="A493" s="25"/>
      <c r="B493" s="26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14.25" customHeight="1">
      <c r="A494" s="25"/>
      <c r="B494" s="26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14.25" customHeight="1">
      <c r="A495" s="25"/>
      <c r="B495" s="26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14.25" customHeight="1">
      <c r="A496" s="25"/>
      <c r="B496" s="26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14.25" customHeight="1">
      <c r="A497" s="25"/>
      <c r="B497" s="2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14.25" customHeight="1">
      <c r="A498" s="25"/>
      <c r="B498" s="26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14.25" customHeight="1">
      <c r="A499" s="25"/>
      <c r="B499" s="26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14.25" customHeight="1">
      <c r="A500" s="25"/>
      <c r="B500" s="26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14.25" customHeight="1">
      <c r="A501" s="25"/>
      <c r="B501" s="26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14.25" customHeight="1">
      <c r="A502" s="25"/>
      <c r="B502" s="26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14.25" customHeight="1">
      <c r="A503" s="25"/>
      <c r="B503" s="26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14.25" customHeight="1">
      <c r="A504" s="25"/>
      <c r="B504" s="26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14.25" customHeight="1">
      <c r="A505" s="25"/>
      <c r="B505" s="26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14.25" customHeight="1">
      <c r="A506" s="25"/>
      <c r="B506" s="26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14.25" customHeight="1">
      <c r="A507" s="25"/>
      <c r="B507" s="26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14.25" customHeight="1">
      <c r="A508" s="25"/>
      <c r="B508" s="26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14.25" customHeight="1">
      <c r="A509" s="25"/>
      <c r="B509" s="26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14.25" customHeight="1">
      <c r="A510" s="25"/>
      <c r="B510" s="26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14.25" customHeight="1">
      <c r="A511" s="25"/>
      <c r="B511" s="26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14.25" customHeight="1">
      <c r="A512" s="25"/>
      <c r="B512" s="26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14.25" customHeight="1">
      <c r="A513" s="25"/>
      <c r="B513" s="26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14.25" customHeight="1">
      <c r="A514" s="25"/>
      <c r="B514" s="26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14.25" customHeight="1">
      <c r="A515" s="25"/>
      <c r="B515" s="26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14.25" customHeight="1">
      <c r="A516" s="25"/>
      <c r="B516" s="26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14.25" customHeight="1">
      <c r="A517" s="25"/>
      <c r="B517" s="26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14.25" customHeight="1">
      <c r="A518" s="25"/>
      <c r="B518" s="26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14.25" customHeight="1">
      <c r="A519" s="25"/>
      <c r="B519" s="26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14.25" customHeight="1">
      <c r="A520" s="25"/>
      <c r="B520" s="26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14.25" customHeight="1">
      <c r="A521" s="25"/>
      <c r="B521" s="26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14.25" customHeight="1">
      <c r="A522" s="25"/>
      <c r="B522" s="26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14.25" customHeight="1">
      <c r="A523" s="25"/>
      <c r="B523" s="26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14.25" customHeight="1">
      <c r="A524" s="25"/>
      <c r="B524" s="26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14.25" customHeight="1">
      <c r="A525" s="25"/>
      <c r="B525" s="26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14.25" customHeight="1">
      <c r="A526" s="25"/>
      <c r="B526" s="26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14.25" customHeight="1">
      <c r="A527" s="25"/>
      <c r="B527" s="26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14.25" customHeight="1">
      <c r="A528" s="25"/>
      <c r="B528" s="26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14.25" customHeight="1">
      <c r="A529" s="25"/>
      <c r="B529" s="26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14.25" customHeight="1">
      <c r="A530" s="25"/>
      <c r="B530" s="26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14.25" customHeight="1">
      <c r="A531" s="25"/>
      <c r="B531" s="26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14.25" customHeight="1">
      <c r="A532" s="25"/>
      <c r="B532" s="26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14.25" customHeight="1">
      <c r="A533" s="25"/>
      <c r="B533" s="2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14.25" customHeight="1">
      <c r="A534" s="25"/>
      <c r="B534" s="26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14.25" customHeight="1">
      <c r="A535" s="25"/>
      <c r="B535" s="26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14.25" customHeight="1">
      <c r="A536" s="25"/>
      <c r="B536" s="26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14.25" customHeight="1">
      <c r="A537" s="25"/>
      <c r="B537" s="26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14.25" customHeight="1">
      <c r="A538" s="25"/>
      <c r="B538" s="26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14.25" customHeight="1">
      <c r="A539" s="25"/>
      <c r="B539" s="26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14.25" customHeight="1">
      <c r="A540" s="25"/>
      <c r="B540" s="26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4.25" customHeight="1">
      <c r="A541" s="25"/>
      <c r="B541" s="26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14.25" customHeight="1">
      <c r="A542" s="25"/>
      <c r="B542" s="26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14.25" customHeight="1">
      <c r="A543" s="25"/>
      <c r="B543" s="26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14.25" customHeight="1">
      <c r="A544" s="25"/>
      <c r="B544" s="26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14.25" customHeight="1">
      <c r="A545" s="25"/>
      <c r="B545" s="26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14.25" customHeight="1">
      <c r="A546" s="25"/>
      <c r="B546" s="26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14.25" customHeight="1">
      <c r="A547" s="25"/>
      <c r="B547" s="26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14.25" customHeight="1">
      <c r="A548" s="25"/>
      <c r="B548" s="26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14.25" customHeight="1">
      <c r="A549" s="25"/>
      <c r="B549" s="26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14.25" customHeight="1">
      <c r="A550" s="25"/>
      <c r="B550" s="26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14.25" customHeight="1">
      <c r="A551" s="25"/>
      <c r="B551" s="26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14.25" customHeight="1">
      <c r="A552" s="25"/>
      <c r="B552" s="26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14.25" customHeight="1">
      <c r="A553" s="25"/>
      <c r="B553" s="26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14.25" customHeight="1">
      <c r="A554" s="25"/>
      <c r="B554" s="26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14.25" customHeight="1">
      <c r="A555" s="25"/>
      <c r="B555" s="26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14.25" customHeight="1">
      <c r="A556" s="25"/>
      <c r="B556" s="26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14.25" customHeight="1">
      <c r="A557" s="25"/>
      <c r="B557" s="26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14.25" customHeight="1">
      <c r="A558" s="25"/>
      <c r="B558" s="26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14.25" customHeight="1">
      <c r="A559" s="25"/>
      <c r="B559" s="26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14.25" customHeight="1">
      <c r="A560" s="25"/>
      <c r="B560" s="26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14.25" customHeight="1">
      <c r="A561" s="25"/>
      <c r="B561" s="26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14.25" customHeight="1">
      <c r="A562" s="25"/>
      <c r="B562" s="26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14.25" customHeight="1">
      <c r="A563" s="25"/>
      <c r="B563" s="26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14.25" customHeight="1">
      <c r="A564" s="25"/>
      <c r="B564" s="26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14.25" customHeight="1">
      <c r="A565" s="25"/>
      <c r="B565" s="26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14.25" customHeight="1">
      <c r="A566" s="25"/>
      <c r="B566" s="26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14.25" customHeight="1">
      <c r="A567" s="25"/>
      <c r="B567" s="26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14.25" customHeight="1">
      <c r="A568" s="25"/>
      <c r="B568" s="2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14.25" customHeight="1">
      <c r="A569" s="25"/>
      <c r="B569" s="26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14.25" customHeight="1">
      <c r="A570" s="25"/>
      <c r="B570" s="26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14.25" customHeight="1">
      <c r="A571" s="25"/>
      <c r="B571" s="26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14.25" customHeight="1">
      <c r="A572" s="25"/>
      <c r="B572" s="26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4.25" customHeight="1">
      <c r="A573" s="25"/>
      <c r="B573" s="26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14.25" customHeight="1">
      <c r="A574" s="25"/>
      <c r="B574" s="26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14.25" customHeight="1">
      <c r="A575" s="25"/>
      <c r="B575" s="26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14.25" customHeight="1">
      <c r="A576" s="25"/>
      <c r="B576" s="26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14.25" customHeight="1">
      <c r="A577" s="25"/>
      <c r="B577" s="26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14.25" customHeight="1">
      <c r="A578" s="25"/>
      <c r="B578" s="26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14.25" customHeight="1">
      <c r="A579" s="25"/>
      <c r="B579" s="26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14.25" customHeight="1">
      <c r="A580" s="25"/>
      <c r="B580" s="26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14.25" customHeight="1">
      <c r="A581" s="25"/>
      <c r="B581" s="26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14.25" customHeight="1">
      <c r="A582" s="25"/>
      <c r="B582" s="26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14.25" customHeight="1">
      <c r="A583" s="25"/>
      <c r="B583" s="26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14.25" customHeight="1">
      <c r="A584" s="25"/>
      <c r="B584" s="26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14.25" customHeight="1">
      <c r="A585" s="25"/>
      <c r="B585" s="26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14.25" customHeight="1">
      <c r="A586" s="25"/>
      <c r="B586" s="26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14.25" customHeight="1">
      <c r="A587" s="25"/>
      <c r="B587" s="26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14.25" customHeight="1">
      <c r="A588" s="25"/>
      <c r="B588" s="26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14.25" customHeight="1">
      <c r="A589" s="25"/>
      <c r="B589" s="26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14.25" customHeight="1">
      <c r="A590" s="25"/>
      <c r="B590" s="26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14.25" customHeight="1">
      <c r="A591" s="25"/>
      <c r="B591" s="26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14.25" customHeight="1">
      <c r="A592" s="25"/>
      <c r="B592" s="26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14.25" customHeight="1">
      <c r="A593" s="25"/>
      <c r="B593" s="26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14.25" customHeight="1">
      <c r="A594" s="25"/>
      <c r="B594" s="26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14.25" customHeight="1">
      <c r="A595" s="25"/>
      <c r="B595" s="26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4.25" customHeight="1">
      <c r="A596" s="25"/>
      <c r="B596" s="26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14.25" customHeight="1">
      <c r="A597" s="25"/>
      <c r="B597" s="26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14.25" customHeight="1">
      <c r="A598" s="25"/>
      <c r="B598" s="26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14.25" customHeight="1">
      <c r="A599" s="25"/>
      <c r="B599" s="26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14.25" customHeight="1">
      <c r="A600" s="25"/>
      <c r="B600" s="26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14.25" customHeight="1">
      <c r="A601" s="25"/>
      <c r="B601" s="26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14.25" customHeight="1">
      <c r="A602" s="25"/>
      <c r="B602" s="26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14.25" customHeight="1">
      <c r="A603" s="25"/>
      <c r="B603" s="26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14.25" customHeight="1">
      <c r="A604" s="25"/>
      <c r="B604" s="2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14.25" customHeight="1">
      <c r="A605" s="25"/>
      <c r="B605" s="26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14.25" customHeight="1">
      <c r="A606" s="25"/>
      <c r="B606" s="26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14.25" customHeight="1">
      <c r="A607" s="25"/>
      <c r="B607" s="26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14.25" customHeight="1">
      <c r="A608" s="25"/>
      <c r="B608" s="26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14.25" customHeight="1">
      <c r="A609" s="25"/>
      <c r="B609" s="26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14.25" customHeight="1">
      <c r="A610" s="25"/>
      <c r="B610" s="26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14.25" customHeight="1">
      <c r="A611" s="25"/>
      <c r="B611" s="26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14.25" customHeight="1">
      <c r="A612" s="25"/>
      <c r="B612" s="26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14.25" customHeight="1">
      <c r="A613" s="25"/>
      <c r="B613" s="26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14.25" customHeight="1">
      <c r="A614" s="25"/>
      <c r="B614" s="26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14.25" customHeight="1">
      <c r="A615" s="25"/>
      <c r="B615" s="26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14.25" customHeight="1">
      <c r="A616" s="25"/>
      <c r="B616" s="26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14.25" customHeight="1">
      <c r="A617" s="25"/>
      <c r="B617" s="26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14.25" customHeight="1">
      <c r="A618" s="25"/>
      <c r="B618" s="26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14.25" customHeight="1">
      <c r="A619" s="25"/>
      <c r="B619" s="26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14.25" customHeight="1">
      <c r="A620" s="25"/>
      <c r="B620" s="26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14.25" customHeight="1">
      <c r="A621" s="25"/>
      <c r="B621" s="26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14.25" customHeight="1">
      <c r="A622" s="25"/>
      <c r="B622" s="26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14.25" customHeight="1">
      <c r="A623" s="25"/>
      <c r="B623" s="26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14.25" customHeight="1">
      <c r="A624" s="25"/>
      <c r="B624" s="26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14.25" customHeight="1">
      <c r="A625" s="25"/>
      <c r="B625" s="26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14.25" customHeight="1">
      <c r="A626" s="25"/>
      <c r="B626" s="26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14.25" customHeight="1">
      <c r="A627" s="25"/>
      <c r="B627" s="26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14.25" customHeight="1">
      <c r="A628" s="25"/>
      <c r="B628" s="26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14.25" customHeight="1">
      <c r="A629" s="25"/>
      <c r="B629" s="26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14.25" customHeight="1">
      <c r="A630" s="25"/>
      <c r="B630" s="26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14.25" customHeight="1">
      <c r="A631" s="25"/>
      <c r="B631" s="26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14.25" customHeight="1">
      <c r="A632" s="25"/>
      <c r="B632" s="26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14.25" customHeight="1">
      <c r="A633" s="25"/>
      <c r="B633" s="26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14.25" customHeight="1">
      <c r="A634" s="25"/>
      <c r="B634" s="26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14.25" customHeight="1">
      <c r="A635" s="25"/>
      <c r="B635" s="26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14.25" customHeight="1">
      <c r="A636" s="25"/>
      <c r="B636" s="26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14.25" customHeight="1">
      <c r="A637" s="25"/>
      <c r="B637" s="26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14.25" customHeight="1">
      <c r="A638" s="25"/>
      <c r="B638" s="26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14.25" customHeight="1">
      <c r="A639" s="25"/>
      <c r="B639" s="26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14.25" customHeight="1">
      <c r="A640" s="25"/>
      <c r="B640" s="2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14.25" customHeight="1">
      <c r="A641" s="25"/>
      <c r="B641" s="26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14.25" customHeight="1">
      <c r="A642" s="25"/>
      <c r="B642" s="26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14.25" customHeight="1">
      <c r="A643" s="25"/>
      <c r="B643" s="26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14.25" customHeight="1">
      <c r="A644" s="25"/>
      <c r="B644" s="26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14.25" customHeight="1">
      <c r="A645" s="25"/>
      <c r="B645" s="26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14.25" customHeight="1">
      <c r="A646" s="25"/>
      <c r="B646" s="26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14.25" customHeight="1">
      <c r="A647" s="25"/>
      <c r="B647" s="26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14.25" customHeight="1">
      <c r="A648" s="25"/>
      <c r="B648" s="26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14.25" customHeight="1">
      <c r="A649" s="25"/>
      <c r="B649" s="26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14.25" customHeight="1">
      <c r="A650" s="25"/>
      <c r="B650" s="26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14.25" customHeight="1">
      <c r="A651" s="25"/>
      <c r="B651" s="26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14.25" customHeight="1">
      <c r="A652" s="25"/>
      <c r="B652" s="26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14.25" customHeight="1">
      <c r="A653" s="25"/>
      <c r="B653" s="26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14.25" customHeight="1">
      <c r="A654" s="25"/>
      <c r="B654" s="26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14.25" customHeight="1">
      <c r="A655" s="25"/>
      <c r="B655" s="26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14.25" customHeight="1">
      <c r="A656" s="25"/>
      <c r="B656" s="26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14.25" customHeight="1">
      <c r="A657" s="25"/>
      <c r="B657" s="26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14.25" customHeight="1">
      <c r="A658" s="25"/>
      <c r="B658" s="26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14.25" customHeight="1">
      <c r="A659" s="25"/>
      <c r="B659" s="26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14.25" customHeight="1">
      <c r="A660" s="25"/>
      <c r="B660" s="26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14.25" customHeight="1">
      <c r="A661" s="25"/>
      <c r="B661" s="26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14.25" customHeight="1">
      <c r="A662" s="25"/>
      <c r="B662" s="26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14.25" customHeight="1">
      <c r="A663" s="25"/>
      <c r="B663" s="26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14.25" customHeight="1">
      <c r="A664" s="25"/>
      <c r="B664" s="26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14.25" customHeight="1">
      <c r="A665" s="25"/>
      <c r="B665" s="26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14.25" customHeight="1">
      <c r="A666" s="25"/>
      <c r="B666" s="26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14.25" customHeight="1">
      <c r="A667" s="25"/>
      <c r="B667" s="26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14.25" customHeight="1">
      <c r="A668" s="25"/>
      <c r="B668" s="26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14.25" customHeight="1">
      <c r="A669" s="25"/>
      <c r="B669" s="26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14.25" customHeight="1">
      <c r="A670" s="25"/>
      <c r="B670" s="26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14.25" customHeight="1">
      <c r="A671" s="25"/>
      <c r="B671" s="26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14.25" customHeight="1">
      <c r="A672" s="25"/>
      <c r="B672" s="26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14.25" customHeight="1">
      <c r="A673" s="25"/>
      <c r="B673" s="26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14.25" customHeight="1">
      <c r="A674" s="25"/>
      <c r="B674" s="26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14.25" customHeight="1">
      <c r="A675" s="25"/>
      <c r="B675" s="26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14.25" customHeight="1">
      <c r="A676" s="25"/>
      <c r="B676" s="26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14.25" customHeight="1">
      <c r="A677" s="25"/>
      <c r="B677" s="26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14.25" customHeight="1">
      <c r="A678" s="25"/>
      <c r="B678" s="26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14.25" customHeight="1">
      <c r="A679" s="25"/>
      <c r="B679" s="26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14.25" customHeight="1">
      <c r="A680" s="25"/>
      <c r="B680" s="26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14.25" customHeight="1">
      <c r="A681" s="25"/>
      <c r="B681" s="26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14.25" customHeight="1">
      <c r="A682" s="25"/>
      <c r="B682" s="26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14.25" customHeight="1">
      <c r="A683" s="25"/>
      <c r="B683" s="26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14.25" customHeight="1">
      <c r="A684" s="25"/>
      <c r="B684" s="26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14.25" customHeight="1">
      <c r="A685" s="25"/>
      <c r="B685" s="26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14.25" customHeight="1">
      <c r="A686" s="25"/>
      <c r="B686" s="26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14.25" customHeight="1">
      <c r="A687" s="25"/>
      <c r="B687" s="26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14.25" customHeight="1">
      <c r="A688" s="25"/>
      <c r="B688" s="26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14.25" customHeight="1">
      <c r="A689" s="25"/>
      <c r="B689" s="26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14.25" customHeight="1">
      <c r="A690" s="25"/>
      <c r="B690" s="26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14.25" customHeight="1">
      <c r="A691" s="25"/>
      <c r="B691" s="26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14.25" customHeight="1">
      <c r="A692" s="25"/>
      <c r="B692" s="26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14.25" customHeight="1">
      <c r="A693" s="25"/>
      <c r="B693" s="26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14.25" customHeight="1">
      <c r="A694" s="25"/>
      <c r="B694" s="26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14.25" customHeight="1">
      <c r="A695" s="25"/>
      <c r="B695" s="26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14.25" customHeight="1">
      <c r="A696" s="25"/>
      <c r="B696" s="26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14.25" customHeight="1">
      <c r="A697" s="25"/>
      <c r="B697" s="26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14.25" customHeight="1">
      <c r="A698" s="25"/>
      <c r="B698" s="26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14.25" customHeight="1">
      <c r="A699" s="25"/>
      <c r="B699" s="26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14.25" customHeight="1">
      <c r="A700" s="25"/>
      <c r="B700" s="26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14.25" customHeight="1">
      <c r="A701" s="25"/>
      <c r="B701" s="26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14.25" customHeight="1">
      <c r="A702" s="25"/>
      <c r="B702" s="26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14.25" customHeight="1">
      <c r="A703" s="25"/>
      <c r="B703" s="26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14.25" customHeight="1">
      <c r="A704" s="25"/>
      <c r="B704" s="26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14.25" customHeight="1">
      <c r="A705" s="25"/>
      <c r="B705" s="26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14.25" customHeight="1">
      <c r="A706" s="25"/>
      <c r="B706" s="26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14.25" customHeight="1">
      <c r="A707" s="25"/>
      <c r="B707" s="26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14.25" customHeight="1">
      <c r="A708" s="25"/>
      <c r="B708" s="26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14.25" customHeight="1">
      <c r="A709" s="25"/>
      <c r="B709" s="26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14.25" customHeight="1">
      <c r="A710" s="25"/>
      <c r="B710" s="26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14.25" customHeight="1">
      <c r="A711" s="25"/>
      <c r="B711" s="26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14.25" customHeight="1">
      <c r="A712" s="25"/>
      <c r="B712" s="26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14.25" customHeight="1">
      <c r="A713" s="25"/>
      <c r="B713" s="26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14.25" customHeight="1">
      <c r="A714" s="25"/>
      <c r="B714" s="26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14.25" customHeight="1">
      <c r="A715" s="25"/>
      <c r="B715" s="26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14.25" customHeight="1">
      <c r="A716" s="25"/>
      <c r="B716" s="26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14.25" customHeight="1">
      <c r="A717" s="25"/>
      <c r="B717" s="26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14.25" customHeight="1">
      <c r="A718" s="25"/>
      <c r="B718" s="26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14.25" customHeight="1">
      <c r="A719" s="25"/>
      <c r="B719" s="26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14.25" customHeight="1">
      <c r="A720" s="25"/>
      <c r="B720" s="26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14.25" customHeight="1">
      <c r="A721" s="25"/>
      <c r="B721" s="26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14.25" customHeight="1">
      <c r="A722" s="25"/>
      <c r="B722" s="26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14.25" customHeight="1">
      <c r="A723" s="25"/>
      <c r="B723" s="26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14.25" customHeight="1">
      <c r="A724" s="25"/>
      <c r="B724" s="26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14.25" customHeight="1">
      <c r="A725" s="25"/>
      <c r="B725" s="26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14.25" customHeight="1">
      <c r="A726" s="25"/>
      <c r="B726" s="26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14.25" customHeight="1">
      <c r="A727" s="25"/>
      <c r="B727" s="26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14.25" customHeight="1">
      <c r="A728" s="25"/>
      <c r="B728" s="26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14.25" customHeight="1">
      <c r="A729" s="25"/>
      <c r="B729" s="26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14.25" customHeight="1">
      <c r="A730" s="25"/>
      <c r="B730" s="26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14.25" customHeight="1">
      <c r="A731" s="25"/>
      <c r="B731" s="26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14.25" customHeight="1">
      <c r="A732" s="25"/>
      <c r="B732" s="26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14.25" customHeight="1">
      <c r="A733" s="25"/>
      <c r="B733" s="26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14.25" customHeight="1">
      <c r="A734" s="25"/>
      <c r="B734" s="26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14.25" customHeight="1">
      <c r="A735" s="25"/>
      <c r="B735" s="26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14.25" customHeight="1">
      <c r="A736" s="25"/>
      <c r="B736" s="26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14.25" customHeight="1">
      <c r="A737" s="25"/>
      <c r="B737" s="26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14.25" customHeight="1">
      <c r="A738" s="25"/>
      <c r="B738" s="26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14.25" customHeight="1">
      <c r="A739" s="25"/>
      <c r="B739" s="26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14.25" customHeight="1">
      <c r="A740" s="25"/>
      <c r="B740" s="26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14.25" customHeight="1">
      <c r="A741" s="25"/>
      <c r="B741" s="26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14.25" customHeight="1">
      <c r="A742" s="25"/>
      <c r="B742" s="26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14.25" customHeight="1">
      <c r="A743" s="25"/>
      <c r="B743" s="26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14.25" customHeight="1">
      <c r="A744" s="25"/>
      <c r="B744" s="26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14.25" customHeight="1">
      <c r="A745" s="25"/>
      <c r="B745" s="26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14.25" customHeight="1">
      <c r="A746" s="25"/>
      <c r="B746" s="26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14.25" customHeight="1">
      <c r="A747" s="25"/>
      <c r="B747" s="26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14.25" customHeight="1">
      <c r="A748" s="25"/>
      <c r="B748" s="26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14.25" customHeight="1">
      <c r="A749" s="25"/>
      <c r="B749" s="26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14.25" customHeight="1">
      <c r="A750" s="25"/>
      <c r="B750" s="26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14.25" customHeight="1">
      <c r="A751" s="25"/>
      <c r="B751" s="26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14.25" customHeight="1">
      <c r="A752" s="25"/>
      <c r="B752" s="26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14.25" customHeight="1">
      <c r="A753" s="25"/>
      <c r="B753" s="26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14.25" customHeight="1">
      <c r="A754" s="25"/>
      <c r="B754" s="26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14.25" customHeight="1">
      <c r="A755" s="25"/>
      <c r="B755" s="26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14.25" customHeight="1">
      <c r="A756" s="25"/>
      <c r="B756" s="26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14.25" customHeight="1">
      <c r="A757" s="25"/>
      <c r="B757" s="26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14.25" customHeight="1">
      <c r="A758" s="25"/>
      <c r="B758" s="26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14.25" customHeight="1">
      <c r="A759" s="25"/>
      <c r="B759" s="26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14.25" customHeight="1">
      <c r="A760" s="25"/>
      <c r="B760" s="26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14.25" customHeight="1">
      <c r="A761" s="25"/>
      <c r="B761" s="26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14.25" customHeight="1">
      <c r="A762" s="25"/>
      <c r="B762" s="26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14.25" customHeight="1">
      <c r="A763" s="25"/>
      <c r="B763" s="26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14.25" customHeight="1">
      <c r="A764" s="25"/>
      <c r="B764" s="26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14.25" customHeight="1">
      <c r="A765" s="25"/>
      <c r="B765" s="26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14.25" customHeight="1">
      <c r="A766" s="25"/>
      <c r="B766" s="26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14.25" customHeight="1">
      <c r="A767" s="25"/>
      <c r="B767" s="26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14.25" customHeight="1">
      <c r="A768" s="25"/>
      <c r="B768" s="26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14.25" customHeight="1">
      <c r="A769" s="25"/>
      <c r="B769" s="26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14.25" customHeight="1">
      <c r="A770" s="25"/>
      <c r="B770" s="26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14.25" customHeight="1">
      <c r="A771" s="25"/>
      <c r="B771" s="26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14.25" customHeight="1">
      <c r="A772" s="25"/>
      <c r="B772" s="26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14.25" customHeight="1">
      <c r="A773" s="25"/>
      <c r="B773" s="26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14.25" customHeight="1">
      <c r="A774" s="25"/>
      <c r="B774" s="26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14.25" customHeight="1">
      <c r="A775" s="25"/>
      <c r="B775" s="26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14.25" customHeight="1">
      <c r="A776" s="25"/>
      <c r="B776" s="26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14.25" customHeight="1">
      <c r="A777" s="25"/>
      <c r="B777" s="26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14.25" customHeight="1">
      <c r="A778" s="25"/>
      <c r="B778" s="26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14.25" customHeight="1">
      <c r="A779" s="25"/>
      <c r="B779" s="26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14.25" customHeight="1">
      <c r="A780" s="25"/>
      <c r="B780" s="26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14.25" customHeight="1">
      <c r="A781" s="25"/>
      <c r="B781" s="26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14.25" customHeight="1">
      <c r="A782" s="25"/>
      <c r="B782" s="26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14.25" customHeight="1">
      <c r="A783" s="25"/>
      <c r="B783" s="26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14.25" customHeight="1">
      <c r="A784" s="25"/>
      <c r="B784" s="26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14.25" customHeight="1">
      <c r="A785" s="25"/>
      <c r="B785" s="26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14.25" customHeight="1">
      <c r="A786" s="25"/>
      <c r="B786" s="26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14.25" customHeight="1">
      <c r="A787" s="25"/>
      <c r="B787" s="26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14.25" customHeight="1">
      <c r="A788" s="25"/>
      <c r="B788" s="26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14.25" customHeight="1">
      <c r="A789" s="25"/>
      <c r="B789" s="26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14.25" customHeight="1">
      <c r="A790" s="25"/>
      <c r="B790" s="26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14.25" customHeight="1">
      <c r="A791" s="25"/>
      <c r="B791" s="26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14.25" customHeight="1">
      <c r="A792" s="25"/>
      <c r="B792" s="26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14.25" customHeight="1">
      <c r="A793" s="25"/>
      <c r="B793" s="26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14.25" customHeight="1">
      <c r="A794" s="25"/>
      <c r="B794" s="26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14.25" customHeight="1">
      <c r="A795" s="25"/>
      <c r="B795" s="26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14.25" customHeight="1">
      <c r="A796" s="25"/>
      <c r="B796" s="26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14.25" customHeight="1">
      <c r="A797" s="25"/>
      <c r="B797" s="26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14.25" customHeight="1">
      <c r="A798" s="25"/>
      <c r="B798" s="26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14.25" customHeight="1">
      <c r="A799" s="25"/>
      <c r="B799" s="26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14.25" customHeight="1">
      <c r="A800" s="25"/>
      <c r="B800" s="26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14.25" customHeight="1">
      <c r="A801" s="25"/>
      <c r="B801" s="26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14.25" customHeight="1">
      <c r="A802" s="25"/>
      <c r="B802" s="26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14.25" customHeight="1">
      <c r="A803" s="25"/>
      <c r="B803" s="26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14.25" customHeight="1">
      <c r="A804" s="25"/>
      <c r="B804" s="26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14.25" customHeight="1">
      <c r="A805" s="25"/>
      <c r="B805" s="26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14.25" customHeight="1">
      <c r="A806" s="25"/>
      <c r="B806" s="26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14.25" customHeight="1">
      <c r="A807" s="25"/>
      <c r="B807" s="26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14.25" customHeight="1">
      <c r="A808" s="25"/>
      <c r="B808" s="26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14.25" customHeight="1">
      <c r="A809" s="25"/>
      <c r="B809" s="26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14.25" customHeight="1">
      <c r="A810" s="25"/>
      <c r="B810" s="26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14.25" customHeight="1">
      <c r="A811" s="25"/>
      <c r="B811" s="26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14.25" customHeight="1">
      <c r="A812" s="25"/>
      <c r="B812" s="26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14.25" customHeight="1">
      <c r="A813" s="25"/>
      <c r="B813" s="26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14.25" customHeight="1">
      <c r="A814" s="25"/>
      <c r="B814" s="26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14.25" customHeight="1">
      <c r="A815" s="25"/>
      <c r="B815" s="26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14.25" customHeight="1">
      <c r="A816" s="25"/>
      <c r="B816" s="26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14.25" customHeight="1">
      <c r="A817" s="25"/>
      <c r="B817" s="26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14.25" customHeight="1">
      <c r="A818" s="25"/>
      <c r="B818" s="26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14.25" customHeight="1">
      <c r="A819" s="25"/>
      <c r="B819" s="26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14.25" customHeight="1">
      <c r="A820" s="25"/>
      <c r="B820" s="26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14.25" customHeight="1">
      <c r="A821" s="25"/>
      <c r="B821" s="26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14.25" customHeight="1">
      <c r="A822" s="25"/>
      <c r="B822" s="26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14.25" customHeight="1">
      <c r="A823" s="25"/>
      <c r="B823" s="26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14.25" customHeight="1">
      <c r="A824" s="25"/>
      <c r="B824" s="26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14.25" customHeight="1">
      <c r="A825" s="25"/>
      <c r="B825" s="26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14.25" customHeight="1">
      <c r="A826" s="25"/>
      <c r="B826" s="26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14.25" customHeight="1">
      <c r="A827" s="25"/>
      <c r="B827" s="26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14.25" customHeight="1">
      <c r="A828" s="25"/>
      <c r="B828" s="26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14.25" customHeight="1">
      <c r="A829" s="25"/>
      <c r="B829" s="26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14.25" customHeight="1">
      <c r="A830" s="25"/>
      <c r="B830" s="26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14.25" customHeight="1">
      <c r="A831" s="25"/>
      <c r="B831" s="26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14.25" customHeight="1">
      <c r="A832" s="25"/>
      <c r="B832" s="26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14.25" customHeight="1">
      <c r="A833" s="25"/>
      <c r="B833" s="26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14.25" customHeight="1">
      <c r="A834" s="25"/>
      <c r="B834" s="26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14.25" customHeight="1">
      <c r="A835" s="25"/>
      <c r="B835" s="26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14.25" customHeight="1">
      <c r="A836" s="25"/>
      <c r="B836" s="26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14.25" customHeight="1">
      <c r="A837" s="25"/>
      <c r="B837" s="26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14.25" customHeight="1">
      <c r="A838" s="25"/>
      <c r="B838" s="26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14.25" customHeight="1">
      <c r="A839" s="25"/>
      <c r="B839" s="26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14.25" customHeight="1">
      <c r="A840" s="25"/>
      <c r="B840" s="26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14.25" customHeight="1">
      <c r="A841" s="25"/>
      <c r="B841" s="26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14.25" customHeight="1">
      <c r="A842" s="25"/>
      <c r="B842" s="26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14.25" customHeight="1">
      <c r="A843" s="25"/>
      <c r="B843" s="26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14.25" customHeight="1">
      <c r="A844" s="25"/>
      <c r="B844" s="26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14.25" customHeight="1">
      <c r="A845" s="25"/>
      <c r="B845" s="26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14.25" customHeight="1">
      <c r="A846" s="25"/>
      <c r="B846" s="26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14.25" customHeight="1">
      <c r="A847" s="25"/>
      <c r="B847" s="26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14.25" customHeight="1">
      <c r="A848" s="25"/>
      <c r="B848" s="26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14.25" customHeight="1">
      <c r="A849" s="25"/>
      <c r="B849" s="26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14.25" customHeight="1">
      <c r="A850" s="25"/>
      <c r="B850" s="26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14.25" customHeight="1">
      <c r="A851" s="25"/>
      <c r="B851" s="26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14.25" customHeight="1">
      <c r="A852" s="25"/>
      <c r="B852" s="26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14.25" customHeight="1">
      <c r="A853" s="25"/>
      <c r="B853" s="26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14.25" customHeight="1">
      <c r="A854" s="25"/>
      <c r="B854" s="26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14.25" customHeight="1">
      <c r="A855" s="25"/>
      <c r="B855" s="26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14.25" customHeight="1">
      <c r="A856" s="25"/>
      <c r="B856" s="26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14.25" customHeight="1">
      <c r="A857" s="25"/>
      <c r="B857" s="26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14.25" customHeight="1">
      <c r="A858" s="25"/>
      <c r="B858" s="26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14.25" customHeight="1">
      <c r="A859" s="25"/>
      <c r="B859" s="26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14.25" customHeight="1">
      <c r="A860" s="25"/>
      <c r="B860" s="26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14.25" customHeight="1">
      <c r="A861" s="25"/>
      <c r="B861" s="26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14.25" customHeight="1">
      <c r="A862" s="25"/>
      <c r="B862" s="26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14.25" customHeight="1">
      <c r="A863" s="25"/>
      <c r="B863" s="26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14.25" customHeight="1">
      <c r="A864" s="25"/>
      <c r="B864" s="26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14.25" customHeight="1">
      <c r="A865" s="25"/>
      <c r="B865" s="26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14.25" customHeight="1">
      <c r="A866" s="25"/>
      <c r="B866" s="26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14.25" customHeight="1">
      <c r="A867" s="25"/>
      <c r="B867" s="26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14.25" customHeight="1">
      <c r="A868" s="25"/>
      <c r="B868" s="26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14.25" customHeight="1">
      <c r="A869" s="25"/>
      <c r="B869" s="26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14.25" customHeight="1">
      <c r="A870" s="25"/>
      <c r="B870" s="26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14.25" customHeight="1">
      <c r="A871" s="25"/>
      <c r="B871" s="26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14.25" customHeight="1">
      <c r="A872" s="25"/>
      <c r="B872" s="26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14.25" customHeight="1">
      <c r="A873" s="25"/>
      <c r="B873" s="26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14.25" customHeight="1">
      <c r="A874" s="25"/>
      <c r="B874" s="26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14.25" customHeight="1">
      <c r="A875" s="25"/>
      <c r="B875" s="26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14.25" customHeight="1">
      <c r="A876" s="25"/>
      <c r="B876" s="26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14.25" customHeight="1">
      <c r="A877" s="25"/>
      <c r="B877" s="26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14.25" customHeight="1">
      <c r="A878" s="25"/>
      <c r="B878" s="26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14.25" customHeight="1">
      <c r="A879" s="25"/>
      <c r="B879" s="26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14.25" customHeight="1">
      <c r="A880" s="25"/>
      <c r="B880" s="26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14.25" customHeight="1">
      <c r="A881" s="25"/>
      <c r="B881" s="26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14.25" customHeight="1">
      <c r="A882" s="25"/>
      <c r="B882" s="26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14.25" customHeight="1">
      <c r="A883" s="25"/>
      <c r="B883" s="26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14.25" customHeight="1">
      <c r="A884" s="25"/>
      <c r="B884" s="26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14.25" customHeight="1">
      <c r="A885" s="25"/>
      <c r="B885" s="26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14.25" customHeight="1">
      <c r="A886" s="25"/>
      <c r="B886" s="26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14.25" customHeight="1">
      <c r="A887" s="25"/>
      <c r="B887" s="26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14.25" customHeight="1">
      <c r="A888" s="25"/>
      <c r="B888" s="26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14.25" customHeight="1">
      <c r="A889" s="25"/>
      <c r="B889" s="26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14.25" customHeight="1">
      <c r="A890" s="25"/>
      <c r="B890" s="26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14.25" customHeight="1">
      <c r="A891" s="25"/>
      <c r="B891" s="26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14.25" customHeight="1">
      <c r="A892" s="25"/>
      <c r="B892" s="26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14.25" customHeight="1">
      <c r="A893" s="25"/>
      <c r="B893" s="26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14.25" customHeight="1">
      <c r="A894" s="25"/>
      <c r="B894" s="26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14.25" customHeight="1">
      <c r="A895" s="25"/>
      <c r="B895" s="26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14.25" customHeight="1">
      <c r="A896" s="25"/>
      <c r="B896" s="26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14.25" customHeight="1">
      <c r="A897" s="25"/>
      <c r="B897" s="26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14.25" customHeight="1">
      <c r="A898" s="25"/>
      <c r="B898" s="26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14.25" customHeight="1">
      <c r="A899" s="25"/>
      <c r="B899" s="26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14.25" customHeight="1">
      <c r="A900" s="25"/>
      <c r="B900" s="26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14.25" customHeight="1">
      <c r="A901" s="25"/>
      <c r="B901" s="26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14.25" customHeight="1">
      <c r="A902" s="25"/>
      <c r="B902" s="26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14.25" customHeight="1">
      <c r="A903" s="25"/>
      <c r="B903" s="26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14.25" customHeight="1">
      <c r="A904" s="25"/>
      <c r="B904" s="26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14.25" customHeight="1">
      <c r="A905" s="25"/>
      <c r="B905" s="26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14.25" customHeight="1">
      <c r="A906" s="25"/>
      <c r="B906" s="26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14.25" customHeight="1">
      <c r="A907" s="25"/>
      <c r="B907" s="26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14.25" customHeight="1">
      <c r="A908" s="25"/>
      <c r="B908" s="26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14.25" customHeight="1">
      <c r="A909" s="25"/>
      <c r="B909" s="26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14.25" customHeight="1">
      <c r="A910" s="25"/>
      <c r="B910" s="26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14.25" customHeight="1">
      <c r="A911" s="25"/>
      <c r="B911" s="26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14.25" customHeight="1">
      <c r="A912" s="25"/>
      <c r="B912" s="26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14.25" customHeight="1">
      <c r="A913" s="25"/>
      <c r="B913" s="26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14.25" customHeight="1">
      <c r="A914" s="25"/>
      <c r="B914" s="26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14.25" customHeight="1">
      <c r="A915" s="25"/>
      <c r="B915" s="26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14.25" customHeight="1">
      <c r="A916" s="25"/>
      <c r="B916" s="26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14.25" customHeight="1">
      <c r="A917" s="25"/>
      <c r="B917" s="26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14.25" customHeight="1">
      <c r="A918" s="25"/>
      <c r="B918" s="26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14.25" customHeight="1">
      <c r="A919" s="25"/>
      <c r="B919" s="26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14.25" customHeight="1">
      <c r="A920" s="25"/>
      <c r="B920" s="26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14.25" customHeight="1">
      <c r="A921" s="25"/>
      <c r="B921" s="26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14.25" customHeight="1">
      <c r="A922" s="25"/>
      <c r="B922" s="26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14.25" customHeight="1">
      <c r="A923" s="25"/>
      <c r="B923" s="26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14.25" customHeight="1">
      <c r="A924" s="25"/>
      <c r="B924" s="26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14.25" customHeight="1">
      <c r="A925" s="25"/>
      <c r="B925" s="26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14.25" customHeight="1">
      <c r="A926" s="25"/>
      <c r="B926" s="26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14.25" customHeight="1">
      <c r="A927" s="25"/>
      <c r="B927" s="26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14.25" customHeight="1">
      <c r="A928" s="25"/>
      <c r="B928" s="26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14.25" customHeight="1">
      <c r="A929" s="25"/>
      <c r="B929" s="26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14.25" customHeight="1">
      <c r="A930" s="25"/>
      <c r="B930" s="26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14.25" customHeight="1">
      <c r="A931" s="25"/>
      <c r="B931" s="26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14.25" customHeight="1">
      <c r="A932" s="25"/>
      <c r="B932" s="26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14.25" customHeight="1">
      <c r="A933" s="25"/>
      <c r="B933" s="26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14.25" customHeight="1">
      <c r="A934" s="25"/>
      <c r="B934" s="26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14.25" customHeight="1">
      <c r="A935" s="25"/>
      <c r="B935" s="26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14.25" customHeight="1">
      <c r="A936" s="25"/>
      <c r="B936" s="26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14.25" customHeight="1">
      <c r="A937" s="25"/>
      <c r="B937" s="26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14.25" customHeight="1">
      <c r="A938" s="25"/>
      <c r="B938" s="26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14.25" customHeight="1">
      <c r="A939" s="25"/>
      <c r="B939" s="26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14.25" customHeight="1">
      <c r="A940" s="25"/>
      <c r="B940" s="26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14.25" customHeight="1">
      <c r="A941" s="25"/>
      <c r="B941" s="26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14.25" customHeight="1">
      <c r="A942" s="25"/>
      <c r="B942" s="26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14.25" customHeight="1">
      <c r="A943" s="25"/>
      <c r="B943" s="26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14.25" customHeight="1">
      <c r="A944" s="25"/>
      <c r="B944" s="26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14.25" customHeight="1">
      <c r="A945" s="25"/>
      <c r="B945" s="26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14.25" customHeight="1">
      <c r="A946" s="25"/>
      <c r="B946" s="26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14.25" customHeight="1">
      <c r="A947" s="25"/>
      <c r="B947" s="26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14.25" customHeight="1">
      <c r="A948" s="25"/>
      <c r="B948" s="26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14.25" customHeight="1">
      <c r="A949" s="25"/>
      <c r="B949" s="26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14.25" customHeight="1">
      <c r="A950" s="25"/>
      <c r="B950" s="26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14.25" customHeight="1">
      <c r="A951" s="25"/>
      <c r="B951" s="26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14.25" customHeight="1">
      <c r="A952" s="25"/>
      <c r="B952" s="26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14.25" customHeight="1">
      <c r="A953" s="25"/>
      <c r="B953" s="26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14.25" customHeight="1">
      <c r="A954" s="25"/>
      <c r="B954" s="26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14.25" customHeight="1">
      <c r="A955" s="25"/>
      <c r="B955" s="26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14.25" customHeight="1">
      <c r="A956" s="25"/>
      <c r="B956" s="26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14.25" customHeight="1">
      <c r="A957" s="25"/>
      <c r="B957" s="26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14.25" customHeight="1">
      <c r="A958" s="25"/>
      <c r="B958" s="26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14.25" customHeight="1">
      <c r="A959" s="25"/>
      <c r="B959" s="26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14.25" customHeight="1">
      <c r="A960" s="25"/>
      <c r="B960" s="26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14.25" customHeight="1">
      <c r="A961" s="25"/>
      <c r="B961" s="26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14.25" customHeight="1">
      <c r="A962" s="25"/>
      <c r="B962" s="26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14.25" customHeight="1">
      <c r="A963" s="25"/>
      <c r="B963" s="26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14.25" customHeight="1">
      <c r="A964" s="25"/>
      <c r="B964" s="26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14.25" customHeight="1">
      <c r="A965" s="25"/>
      <c r="B965" s="26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14.25" customHeight="1">
      <c r="A966" s="25"/>
      <c r="B966" s="26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14.25" customHeight="1">
      <c r="A967" s="25"/>
      <c r="B967" s="26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14.25" customHeight="1">
      <c r="A968" s="25"/>
      <c r="B968" s="26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14.25" customHeight="1">
      <c r="A969" s="25"/>
      <c r="B969" s="26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14.25" customHeight="1">
      <c r="A970" s="25"/>
      <c r="B970" s="26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14.25" customHeight="1">
      <c r="A971" s="25"/>
      <c r="B971" s="26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14.25" customHeight="1">
      <c r="A972" s="25"/>
      <c r="B972" s="26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14.25" customHeight="1">
      <c r="A973" s="25"/>
      <c r="B973" s="26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14.25" customHeight="1">
      <c r="A974" s="25"/>
      <c r="B974" s="26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14.25" customHeight="1">
      <c r="A975" s="25"/>
      <c r="B975" s="26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14.25" customHeight="1">
      <c r="A976" s="25"/>
      <c r="B976" s="26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14.25" customHeight="1">
      <c r="A977" s="25"/>
      <c r="B977" s="26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14.25" customHeight="1">
      <c r="A978" s="25"/>
      <c r="B978" s="26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14.25" customHeight="1">
      <c r="A979" s="25"/>
      <c r="B979" s="26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14.25" customHeight="1">
      <c r="A980" s="25"/>
      <c r="B980" s="26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14.25" customHeight="1">
      <c r="A981" s="25"/>
      <c r="B981" s="26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14.25" customHeight="1">
      <c r="A982" s="25"/>
      <c r="B982" s="26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14.25" customHeight="1">
      <c r="A983" s="25"/>
      <c r="B983" s="26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14.25" customHeight="1">
      <c r="A984" s="25"/>
      <c r="B984" s="26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14.25" customHeight="1">
      <c r="A985" s="25"/>
      <c r="B985" s="26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14.25" customHeight="1">
      <c r="A986" s="25"/>
      <c r="B986" s="26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14.25" customHeight="1">
      <c r="A987" s="25"/>
      <c r="B987" s="26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14.25" customHeight="1">
      <c r="A988" s="25"/>
      <c r="B988" s="26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14.25" customHeight="1">
      <c r="A989" s="25"/>
      <c r="B989" s="26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14.25" customHeight="1">
      <c r="A990" s="25"/>
      <c r="B990" s="26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14.25" customHeight="1">
      <c r="A991" s="25"/>
      <c r="B991" s="26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14.25" customHeight="1">
      <c r="A992" s="25"/>
      <c r="B992" s="26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14.25" customHeight="1">
      <c r="A993" s="25"/>
      <c r="B993" s="26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14.25" customHeight="1">
      <c r="A994" s="25"/>
      <c r="B994" s="26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14.25" customHeight="1">
      <c r="A995" s="25"/>
      <c r="B995" s="26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14.25" customHeight="1">
      <c r="A996" s="25"/>
      <c r="B996" s="26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14.25" customHeight="1">
      <c r="A997" s="25"/>
      <c r="B997" s="26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14.25" customHeight="1">
      <c r="A998" s="25"/>
      <c r="B998" s="26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14.25" customHeight="1">
      <c r="A999" s="25"/>
      <c r="B999" s="26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</sheetData>
  <autoFilter ref="$A$1:$O$8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0.86"/>
    <col hidden="1" min="2" max="2" width="14.43"/>
    <col customWidth="1" min="3" max="3" width="4.71"/>
    <col customWidth="1" min="4" max="4" width="10.0"/>
    <col customWidth="1" min="5" max="5" width="9.43"/>
    <col customWidth="1" min="6" max="7" width="9.71"/>
    <col customWidth="1" min="8" max="8" width="7.71"/>
    <col customWidth="1" min="9" max="9" width="10.57"/>
    <col customWidth="1" min="10" max="10" width="9.57"/>
    <col customWidth="1" min="11" max="11" width="9.0"/>
    <col customWidth="1" min="13" max="13" width="8.0"/>
    <col customWidth="1" min="14" max="14" width="9.14"/>
    <col customWidth="1" min="15" max="15" width="10.0"/>
    <col customWidth="1" min="16" max="16" width="11.29"/>
    <col customWidth="1" min="17" max="17" width="9.86"/>
    <col customWidth="1" min="18" max="18" width="5.57"/>
    <col customWidth="1" min="19" max="19" width="9.86"/>
    <col customWidth="1" min="20" max="20" width="6.71"/>
    <col customWidth="1" min="21" max="21" width="8.57"/>
    <col customWidth="1" min="22" max="22" width="9.71"/>
    <col customWidth="1" min="23" max="23" width="7.29"/>
    <col customWidth="1" min="24" max="24" width="11.29"/>
    <col customWidth="1" min="25" max="25" width="9.86"/>
    <col customWidth="1" min="26" max="26" width="11.29"/>
    <col customWidth="1" min="27" max="27" width="9.14"/>
    <col customWidth="1" min="28" max="28" width="9.86"/>
    <col customWidth="1" min="29" max="29" width="8.57"/>
    <col customWidth="1" min="30" max="30" width="9.0"/>
  </cols>
  <sheetData>
    <row r="1">
      <c r="A1" s="44"/>
      <c r="B1" s="1"/>
      <c r="D1" s="2"/>
      <c r="E1" s="3"/>
      <c r="F1" s="2" t="s">
        <v>0</v>
      </c>
      <c r="G1" s="4"/>
      <c r="H1" s="4"/>
      <c r="I1" s="4"/>
      <c r="J1" s="4"/>
      <c r="K1" s="4"/>
      <c r="M1" s="5"/>
      <c r="N1" s="6"/>
      <c r="O1" s="6" t="s">
        <v>1</v>
      </c>
      <c r="P1" s="5"/>
      <c r="Q1" s="5"/>
      <c r="R1" s="5"/>
      <c r="S1" s="5"/>
      <c r="T1" s="5"/>
      <c r="V1" s="7"/>
      <c r="W1" s="8" t="s">
        <v>2</v>
      </c>
      <c r="X1" s="7"/>
      <c r="Y1" s="7"/>
      <c r="Z1" s="7"/>
      <c r="AA1" s="7"/>
      <c r="AB1" s="7"/>
      <c r="AC1" s="7"/>
      <c r="AE1" s="9" t="s">
        <v>3</v>
      </c>
      <c r="AF1" s="10"/>
    </row>
    <row r="2">
      <c r="A2" s="45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1" t="s">
        <v>10</v>
      </c>
      <c r="G2" s="11" t="s">
        <v>11</v>
      </c>
      <c r="H2" s="11" t="s">
        <v>12</v>
      </c>
      <c r="I2" s="1" t="s">
        <v>13</v>
      </c>
      <c r="J2" s="1" t="s">
        <v>14</v>
      </c>
      <c r="K2" s="1" t="s">
        <v>15</v>
      </c>
      <c r="M2" s="1" t="s">
        <v>8</v>
      </c>
      <c r="N2" s="12" t="s">
        <v>9</v>
      </c>
      <c r="O2" s="11" t="s">
        <v>10</v>
      </c>
      <c r="P2" s="11" t="s">
        <v>11</v>
      </c>
      <c r="Q2" s="11" t="s">
        <v>12</v>
      </c>
      <c r="R2" s="1" t="s">
        <v>13</v>
      </c>
      <c r="S2" s="1" t="s">
        <v>14</v>
      </c>
      <c r="T2" s="1" t="s">
        <v>15</v>
      </c>
      <c r="V2" s="1" t="s">
        <v>8</v>
      </c>
      <c r="W2" s="12" t="s">
        <v>9</v>
      </c>
      <c r="X2" s="11" t="s">
        <v>10</v>
      </c>
      <c r="Y2" s="13" t="s">
        <v>11</v>
      </c>
      <c r="Z2" s="11" t="s">
        <v>12</v>
      </c>
      <c r="AA2" s="1" t="s">
        <v>13</v>
      </c>
      <c r="AB2" s="1" t="s">
        <v>14</v>
      </c>
      <c r="AC2" s="1" t="s">
        <v>15</v>
      </c>
      <c r="AE2" s="11" t="s">
        <v>16</v>
      </c>
      <c r="AF2" s="11" t="s">
        <v>17</v>
      </c>
    </row>
    <row r="3">
      <c r="A3" s="45">
        <v>2002.0</v>
      </c>
      <c r="B3" s="14">
        <f>countifs(Data!$D$2:$D$87,"2002")</f>
        <v>12</v>
      </c>
      <c r="C3" s="14">
        <f t="shared" ref="C3:C7" si="1">sum(F3:H3)</f>
        <v>12</v>
      </c>
      <c r="D3" s="14">
        <f>countifs(Data!$D$2:$D$87,"2002",Data!$A$2:$A$87,"NA",Data!$G$2:$G$87,"Very High")</f>
        <v>0</v>
      </c>
      <c r="E3" s="14">
        <f>countifs(Data!$D2:$D87,"2002",Data!$A2:$A87,"NA",Data!$G2:$G87,"High")</f>
        <v>5</v>
      </c>
      <c r="F3" s="15">
        <f t="shared" ref="F3:F7" si="2">SUM(D3:E3)</f>
        <v>5</v>
      </c>
      <c r="G3" s="15">
        <f>countifs(Data!$D2:$D87,"2002",Data!$A2:$A87,"NA",Data!$G2:$G87,"Medium")</f>
        <v>1</v>
      </c>
      <c r="H3" s="15">
        <f t="shared" ref="H3:H7" si="3">SUM(I3:J3)</f>
        <v>6</v>
      </c>
      <c r="I3" s="14">
        <f>countifs(Data!$D2:$D87,"2002",Data!$A2:$A87,"NA",Data!$G2:$G87,"Low")</f>
        <v>4</v>
      </c>
      <c r="J3" s="14">
        <f>countifs(Data!$D2:$D87,"2002",Data!$A2:$A87,"NA",Data!$G2:$G87,"Very Low")</f>
        <v>2</v>
      </c>
      <c r="K3" s="14">
        <f>countifs(Data!$D2:$D87,"2002",Data!$A2:$A87,"NA",Data!$G2:$G87,"None")</f>
        <v>0</v>
      </c>
      <c r="M3" s="14">
        <f>countifs(Data!$D$2:$D$87,"2002",Data!$A$2:$A$87,"NA",Data!$O$2:$O$87,"Very High")</f>
        <v>1</v>
      </c>
      <c r="N3" s="14">
        <f>countifs(Data!$D$2:$D$87,"2002",Data!$A$2:$A$87,"NA",Data!$O$2:$O$87,"High")</f>
        <v>1</v>
      </c>
      <c r="O3" s="16">
        <f t="shared" ref="O3:O7" si="4">sum(M3:N3)</f>
        <v>2</v>
      </c>
      <c r="P3" s="16">
        <f>countifs(Data!$D$2:$D$87,"2002",Data!$A$2:$A$87,"NA",Data!$O$2:$O$87,"Medium")</f>
        <v>3</v>
      </c>
      <c r="Q3" s="16">
        <f t="shared" ref="Q3:Q7" si="5">SUM(R3:T3)</f>
        <v>7</v>
      </c>
      <c r="R3" s="14">
        <f>countifs(Data!$D$2:$D$87,"2002",Data!$A$2:$A$87,"NA",Data!$O$2:$O$87,"Low")</f>
        <v>3</v>
      </c>
      <c r="S3" s="14">
        <f>countifs(Data!$D$2:$D$87,"2002",Data!$A$2:$A$87,"NA",Data!$O$2:$O$87,"Very Low")</f>
        <v>0</v>
      </c>
      <c r="T3" s="14">
        <f>countifs(Data!$D$2:$D$87,"2002",Data!$A$2:$A$87,"NA",Data!$O$2:$O$87,"None")</f>
        <v>4</v>
      </c>
      <c r="V3" s="14">
        <f>countifs(Data!$D$2:$D$87,"2002",Data!$A$2:$A$87,"NA",Data!$I$2:$I$87,"Very High")</f>
        <v>0</v>
      </c>
      <c r="W3" s="14">
        <f>countifs(Data!$D$2:$D$87,"2002",Data!$A$2:$A$87,"NA",Data!$I$2:$I$87,"High")</f>
        <v>2</v>
      </c>
      <c r="X3" s="16">
        <f t="shared" ref="X3:X7" si="6">sum(V3:W3)</f>
        <v>2</v>
      </c>
      <c r="Y3" s="16">
        <f>countifs(Data!$D$2:$D$87,"2002",Data!$A$2:$A$87,"NA",Data!$I$2:$I$87,"Medium")</f>
        <v>0</v>
      </c>
      <c r="Z3" s="16">
        <f t="shared" ref="Z3:Z7" si="7">sum(AA3:AC3)</f>
        <v>10</v>
      </c>
      <c r="AA3" s="14">
        <f>countifs(Data!$D$2:$D$87,"2002",Data!$A$2:$A$87,"NA",Data!$I$2:$I$87,"Low")</f>
        <v>10</v>
      </c>
      <c r="AB3" s="14">
        <f>countifs(Data!$D$2:$D$87,"2002",Data!$A$2:$A$87,"NA",Data!$I$2:$I$87,"Very Low")</f>
        <v>0</v>
      </c>
      <c r="AC3" s="14">
        <f>countifs(Data!$D$2:$D$87,"2002",Data!$A$2:$A$87,"NA",Data!$I$2:$I$87,"None")</f>
        <v>0</v>
      </c>
      <c r="AE3" s="17">
        <f>countifs(Data!$D$2:$D$87,"2002",Data!$A$2:$A$87,"NA",Data!$H$2:$H$87,"Yes")</f>
        <v>5</v>
      </c>
      <c r="AF3" s="17">
        <f>countifs(Data!$D$2:$D$87,"2002",Data!$A$2:$A$87,"NA",Data!$H$2:$H$87,"No")</f>
        <v>7</v>
      </c>
    </row>
    <row r="4">
      <c r="A4" s="45">
        <v>2008.0</v>
      </c>
      <c r="B4" s="14">
        <f>countifs(Data!$D$2:$D$87,"2008")</f>
        <v>12</v>
      </c>
      <c r="C4" s="14">
        <f t="shared" si="1"/>
        <v>11</v>
      </c>
      <c r="D4" s="14">
        <f>countifs(Data!$D$2:$D$87,"2008",Data!$A$2:$A$87,"NA",Data!$G$2:$G$87,"Very High")</f>
        <v>3</v>
      </c>
      <c r="E4" s="14">
        <f>countifs(Data!$D$2:$D$87,"2008",Data!$A$2:$A$87,"NA",Data!$G$2:$G$87,"High")</f>
        <v>6</v>
      </c>
      <c r="F4" s="15">
        <f t="shared" si="2"/>
        <v>9</v>
      </c>
      <c r="G4" s="15">
        <f>countifs(Data!$D$2:$D$87,"2008",Data!$A$2:$A$87,"NA",Data!$G$2:$G$87,"Medium")</f>
        <v>1</v>
      </c>
      <c r="H4" s="15">
        <f t="shared" si="3"/>
        <v>1</v>
      </c>
      <c r="I4" s="14">
        <f>countifs(Data!$D$2:$D$87,"2008",Data!$A$2:$A$87,"NA",Data!$G$2:$G$87,"Low")</f>
        <v>1</v>
      </c>
      <c r="J4" s="14">
        <f>countifs(Data!$D$2:$D$87,"2008",Data!$A$2:$A$87,"NA",Data!$G$2:$G$87,"Very Low")</f>
        <v>0</v>
      </c>
      <c r="K4" s="14">
        <f>countifs(Data!$D$2:$D$87,"2008",Data!$A$2:$A$87,"NA",Data!$G$2:$G$87,"None")</f>
        <v>0</v>
      </c>
      <c r="M4" s="14">
        <f>countifs(Data!$D$2:$D$87,"2008",Data!$A$2:$A$87,"NA",Data!$O$2:$O$87,"Very High")</f>
        <v>0</v>
      </c>
      <c r="N4" s="14">
        <f>countifs(Data!$D$2:$D$87,"2008",Data!$A$2:$A$87,"NA",Data!$O$2:$O$87,"High")</f>
        <v>7</v>
      </c>
      <c r="O4" s="16">
        <f t="shared" si="4"/>
        <v>7</v>
      </c>
      <c r="P4" s="16">
        <f>countifs(Data!$D$2:$D$87,"2008",Data!$A$2:$A$87,"NA",Data!$O$2:$O$87,"Medium")</f>
        <v>1</v>
      </c>
      <c r="Q4" s="16">
        <f t="shared" si="5"/>
        <v>3</v>
      </c>
      <c r="R4" s="14">
        <f>countifs(Data!$D$2:$D$87,"2008",Data!$A$2:$A$87,"NA",Data!$O$2:$O$87,"Low")</f>
        <v>3</v>
      </c>
      <c r="S4" s="14">
        <f>countifs(Data!$D$2:$D$87,"2008",Data!$A$2:$A$87,"NA",Data!$O$2:$O$87,"Very Low")</f>
        <v>0</v>
      </c>
      <c r="T4" s="14">
        <f>countifs(Data!$D$2:$D$87,"2008",Data!$A$2:$A$87,"NA",Data!$O$2:$O$87,"None")</f>
        <v>0</v>
      </c>
      <c r="V4" s="14">
        <f>countifs(Data!$D$2:$D$87,"2008",Data!$A$2:$A$87,"NA",Data!$I$2:$I$87,"Very High")</f>
        <v>3</v>
      </c>
      <c r="W4" s="14">
        <f>countifs(Data!$D$2:$D$87,"2008",Data!$A$2:$A$87,"NA",Data!$I$2:$I$87,"High")</f>
        <v>2</v>
      </c>
      <c r="X4" s="16">
        <f t="shared" si="6"/>
        <v>5</v>
      </c>
      <c r="Y4" s="16">
        <f>countifs(Data!$D$2:$D$87,"2008",Data!$A$2:$A$87,"NA",Data!$I$2:$I$87,"Medium")</f>
        <v>0</v>
      </c>
      <c r="Z4" s="16">
        <f t="shared" si="7"/>
        <v>6</v>
      </c>
      <c r="AA4" s="14">
        <f>countifs(Data!$D$2:$D$87,"2008",Data!$A$2:$A$87,"NA",Data!$I$2:$I$87,"Low")</f>
        <v>6</v>
      </c>
      <c r="AB4" s="14">
        <f>countifs(Data!$D$2:$D$87,"2008",Data!$A$2:$A$87,"NA",Data!$I$2:$I$87,"Very Low")</f>
        <v>0</v>
      </c>
      <c r="AC4" s="14">
        <f>countifs(Data!$D$2:$D$87,"2008",Data!$A$2:$A$87,"NA",Data!$I$2:$I$87,"None")</f>
        <v>0</v>
      </c>
      <c r="AE4" s="17">
        <f>countifs(Data!$D$2:$D$87,"2008",Data!$A$2:$A$87,"NA",Data!$H$2:$H$87,"Yes")</f>
        <v>8</v>
      </c>
      <c r="AF4" s="17">
        <f>countifs(Data!$D$2:$D$87,"2008",Data!$A$2:$A$87,"NA",Data!$H$2:$H$87,"No")</f>
        <v>3</v>
      </c>
    </row>
    <row r="5">
      <c r="A5" s="45">
        <v>2013.0</v>
      </c>
      <c r="B5" s="14">
        <f>countifs(Data!$D$2:$D$87,"2013")</f>
        <v>12</v>
      </c>
      <c r="C5" s="14">
        <f t="shared" si="1"/>
        <v>11</v>
      </c>
      <c r="D5" s="14">
        <f>countifs(Data!$D$2:$D$87,"2013",Data!$A$2:$A$87,"NA",Data!$G$2:$G$87,"Very High")</f>
        <v>8</v>
      </c>
      <c r="E5" s="14">
        <f>countifs(Data!$D$2:$D$87,"2013",Data!$A$2:$A$87,"NA",Data!$G$2:$G$87,"High")</f>
        <v>0</v>
      </c>
      <c r="F5" s="15">
        <f t="shared" si="2"/>
        <v>8</v>
      </c>
      <c r="G5" s="15">
        <f>countifs(Data!$D$2:$D$87,"2013",Data!$A$2:$A$87,"NA",Data!$G$2:$G$87,"Medium")</f>
        <v>1</v>
      </c>
      <c r="H5" s="15">
        <f t="shared" si="3"/>
        <v>2</v>
      </c>
      <c r="I5" s="14">
        <f>countifs(Data!$D$2:$D$87,"2013",Data!$A$2:$A$87,"NA",Data!$G$2:$G$87,"Low")</f>
        <v>1</v>
      </c>
      <c r="J5" s="14">
        <f>countifs(Data!$D$2:$D$87,"2013",Data!$A$2:$A$87,"NA",Data!$G$2:$G$87,"Very Low")</f>
        <v>1</v>
      </c>
      <c r="K5" s="14">
        <f>countifs(Data!$D$2:$D$87,"2013",Data!$A$2:$A$87,"NA",Data!$G$2:$G$87,"None")</f>
        <v>0</v>
      </c>
      <c r="M5" s="14">
        <f>countifs(Data!$D$2:$D$87,"2013",Data!$A$2:$A$87,"NA",Data!$O$2:$O$87,"Very High")</f>
        <v>1</v>
      </c>
      <c r="N5" s="14">
        <f>countifs(Data!$D$2:$D$87,"2013",Data!$A$2:$A$87,"NA",Data!$O$2:$O$87,"High")</f>
        <v>4</v>
      </c>
      <c r="O5" s="16">
        <f t="shared" si="4"/>
        <v>5</v>
      </c>
      <c r="P5" s="16">
        <f>countifs(Data!$D$2:$D$87,"2013",Data!$A$2:$A$87,"NA",Data!$O$2:$O$87,"Medium")</f>
        <v>2</v>
      </c>
      <c r="Q5" s="16">
        <f t="shared" si="5"/>
        <v>4</v>
      </c>
      <c r="R5" s="14">
        <f>countifs(Data!$D$2:$D$87,"2013",Data!$A$2:$A$87,"NA",Data!$O$2:$O$87,"Low")</f>
        <v>4</v>
      </c>
      <c r="S5" s="14">
        <f>countifs(Data!$D$2:$D$87,"2013",Data!$A$2:$A$87,"NA",Data!$O$2:$O$87,"Very Low")</f>
        <v>0</v>
      </c>
      <c r="T5" s="14">
        <f>countifs(Data!$D$2:$D$87,"2013",Data!$A$2:$A$87,"NA",Data!$O$2:$O$87,"None")</f>
        <v>0</v>
      </c>
      <c r="V5" s="14">
        <f>countifs(Data!$D$2:$D$87,"2013",Data!$A$2:$A$87,"NA",Data!I2:I87,"Very High")</f>
        <v>6</v>
      </c>
      <c r="W5" s="14">
        <f>countifs(Data!$D$2:$D$87,"2013",Data!$A$2:$A$87,"NA",Data!$I$2:$I$87,"High")</f>
        <v>0</v>
      </c>
      <c r="X5" s="16">
        <f t="shared" si="6"/>
        <v>6</v>
      </c>
      <c r="Y5" s="16">
        <f>countifs(Data!$D$2:$D$87,"2013",Data!$A$2:$A$87,"NA",Data!$I$2:$I$87,"Medium")</f>
        <v>1</v>
      </c>
      <c r="Z5" s="16">
        <f t="shared" si="7"/>
        <v>4</v>
      </c>
      <c r="AA5" s="14">
        <f>countifs(Data!$D$2:$D$87,"2013",Data!$A$2:$A$87,"NA",Data!$I$2:$I$87,"Low")</f>
        <v>4</v>
      </c>
      <c r="AB5" s="14">
        <f>countifs(Data!$D$2:$D$87,"2013",Data!$A$2:$A$87,"NA",Data!$I$2:$I$87,"Very Low")</f>
        <v>0</v>
      </c>
      <c r="AC5" s="14">
        <f>countifs(Data!$D$2:$D$87,"2013",Data!$A$2:$A$87,"NA",Data!$I$2:$I$87,"None")</f>
        <v>0</v>
      </c>
      <c r="AE5" s="17">
        <f>countifs(Data!$D$2:$D$87,"2013",Data!$A$2:$A$87,"NA",Data!H2:H87,"Yes")</f>
        <v>6</v>
      </c>
      <c r="AF5" s="17">
        <f>countifs(Data!$D$2:$D$87,"2013",Data!$A$2:$A$87,"NA",Data!$H$2:$H$87,"No")</f>
        <v>5</v>
      </c>
    </row>
    <row r="6">
      <c r="A6" s="45">
        <v>2018.0</v>
      </c>
      <c r="B6" s="14">
        <f>countifs(Data!$D$2:$D$87,"2018")</f>
        <v>12</v>
      </c>
      <c r="C6" s="14">
        <f t="shared" si="1"/>
        <v>12</v>
      </c>
      <c r="D6" s="14">
        <f>countifs(Data!$D$2:$D$87,"2018",Data!$A$2:$A$87,"NA",Data!$G$2:$G$87,"Very High")</f>
        <v>1</v>
      </c>
      <c r="E6" s="14">
        <f>countifs(Data!$D$2:$D$87,"2018",Data!$A$2:$A$87,"NA",Data!$G$2:$G$87,"High")</f>
        <v>4</v>
      </c>
      <c r="F6" s="15">
        <f t="shared" si="2"/>
        <v>5</v>
      </c>
      <c r="G6" s="15">
        <f>countifs(Data!$D$2:$D$87,"2018",Data!$A$2:$A$87,"NA",Data!$G$2:$G$87,"Medium")</f>
        <v>0</v>
      </c>
      <c r="H6" s="15">
        <f t="shared" si="3"/>
        <v>7</v>
      </c>
      <c r="I6" s="14">
        <f>countifs(Data!$D$2:$D$87,"2018",Data!$A$2:$A$87,"NA",Data!$G$2:$G$87,"Low")</f>
        <v>1</v>
      </c>
      <c r="J6" s="14">
        <f>countifs(Data!$D$2:$D$87,"2018",Data!$A$2:$A$87,"NA",Data!$G$2:$G$87,"Very Low")</f>
        <v>6</v>
      </c>
      <c r="K6" s="14">
        <f>countifs(Data!$D$2:$D$87,"2018",Data!$A$2:$A$87,"NA",Data!$G$2:$G$87,"None")</f>
        <v>0</v>
      </c>
      <c r="M6" s="14">
        <f>countifs(Data!$D$2:$D$87,"2018",Data!$A$2:$A$87,"NA",Data!$O$2:$O$87,"Very High")</f>
        <v>0</v>
      </c>
      <c r="N6" s="14">
        <f>countifs(Data!$D$2:$D$87,"2018",Data!$A$2:$A$87,"NA",Data!$O$2:$O$87,"High")</f>
        <v>4</v>
      </c>
      <c r="O6" s="16">
        <f t="shared" si="4"/>
        <v>4</v>
      </c>
      <c r="P6" s="16">
        <f>countifs(Data!$D$2:$D$87,"2018",Data!$A$2:$A$87,"NA",Data!$O$2:$O$87,"Medium")</f>
        <v>0</v>
      </c>
      <c r="Q6" s="16">
        <f t="shared" si="5"/>
        <v>8</v>
      </c>
      <c r="R6" s="14">
        <f>countifs(Data!$D$2:$D$87,"2018",Data!$A$2:$A$87,"NA",Data!$O$2:$O$87,"Low")</f>
        <v>7</v>
      </c>
      <c r="S6" s="14">
        <f>countifs(Data!$D$2:$D$87,"2018",Data!$A$2:$A$87,"NA",Data!$O$2:$O$87,"Very Low")</f>
        <v>0</v>
      </c>
      <c r="T6" s="14">
        <f>countifs(Data!$D$2:$D$87,"2018",Data!$A$2:$A$87,"NA",Data!$O$2:$O$87,"None")</f>
        <v>1</v>
      </c>
      <c r="V6" s="14">
        <f>countifs(Data!$D$2:$D$87,"2018",Data!$A$2:$A$87,"NA",Data!$I$2:$I$87,"Very High")</f>
        <v>2</v>
      </c>
      <c r="W6" s="14">
        <f>countifs(Data!$D$2:$D$87,"2018",Data!$A$2:$A$87,"NA",Data!$I$2:$I$87,"High")</f>
        <v>0</v>
      </c>
      <c r="X6" s="16">
        <f t="shared" si="6"/>
        <v>2</v>
      </c>
      <c r="Y6" s="16">
        <f>countifs(Data!$D$2:$D$87,"2018",Data!$A$2:$A$87,"NA",Data!$I$2:$I$87,"Medium")</f>
        <v>0</v>
      </c>
      <c r="Z6" s="16">
        <f t="shared" si="7"/>
        <v>10</v>
      </c>
      <c r="AA6" s="14">
        <f>countifs(Data!$D$2:$D$87,"2018",Data!$A$2:$A$87,"NA",Data!$I$2:$I$87,"Low")</f>
        <v>6</v>
      </c>
      <c r="AB6" s="14">
        <f>countifs(Data!$D$2:$D$87,"2018",Data!$A$2:$A$87,"NA",Data!$I$2:$I$87,"Very Low")</f>
        <v>4</v>
      </c>
      <c r="AC6" s="14">
        <f>countifs(Data!$D$2:$D$87,"2018",Data!$A$2:$A$87,"NA",Data!$I$2:$I$87,"None")</f>
        <v>0</v>
      </c>
      <c r="AE6" s="17">
        <f>countifs(Data!$D$2:$D$87,"2018",Data!$A$2:$A$87,"NA",Data!$H$2:$H$87,"Yes")</f>
        <v>5</v>
      </c>
      <c r="AF6" s="17">
        <f>countifs(Data!$D$2:$D$87,"2018",Data!$A$2:$A$87,"NA",Data!$H$2:$H$87,"No")</f>
        <v>7</v>
      </c>
    </row>
    <row r="7">
      <c r="A7" s="45">
        <v>2024.0</v>
      </c>
      <c r="B7" s="14">
        <f>countifs(Data!$D$2:$D$87,"2018")</f>
        <v>12</v>
      </c>
      <c r="C7" s="14">
        <f t="shared" si="1"/>
        <v>5</v>
      </c>
      <c r="D7" s="14">
        <f>countifs(Data!$D$2:$D$87,"2024",Data!$A$2:$A$87,"NA",Data!$G$2:$G$87,"Very High")</f>
        <v>0</v>
      </c>
      <c r="E7" s="14">
        <f>countifs(Data!$D$2:$D$87,"2024",Data!$A$2:$A$87,"NA",Data!$G$2:$G$87,"High")</f>
        <v>2</v>
      </c>
      <c r="F7" s="15">
        <f t="shared" si="2"/>
        <v>2</v>
      </c>
      <c r="G7" s="15">
        <f>countifs(Data!$D$2:$D$87,"2024",Data!$A$2:$A$87,"NA",Data!$G$2:$G$87,"Medium")</f>
        <v>2</v>
      </c>
      <c r="H7" s="15">
        <f t="shared" si="3"/>
        <v>1</v>
      </c>
      <c r="I7" s="14">
        <f>countifs(Data!$D$2:$D$87,"2024",Data!$A$2:$A$87,"NA",Data!$G$2:$G$87,"Low")</f>
        <v>1</v>
      </c>
      <c r="J7" s="14">
        <f>countifs(Data!$D$2:$D$87,"2024",Data!$A$2:$A$87,"NA",Data!$G$2:$G$87,"Very Low")</f>
        <v>0</v>
      </c>
      <c r="K7" s="14">
        <f>countifs(Data!$D$2:$D$87,"2024",Data!$A$2:$A$87,"NA",Data!$G$2:$G$87,"None")</f>
        <v>0</v>
      </c>
      <c r="M7" s="14">
        <f>countifs(Data!$D$2:$D$87,"2024",Data!$A$2:$A$87,"NA",Data!$O$2:$O$87,"Very High")</f>
        <v>0</v>
      </c>
      <c r="N7" s="14">
        <f>countifs(Data!$D$2:$D$87,"2024",Data!$A$2:$A$87,"NA",Data!$O$2:$O$87,"High")</f>
        <v>0</v>
      </c>
      <c r="O7" s="16">
        <f t="shared" si="4"/>
        <v>0</v>
      </c>
      <c r="P7" s="16">
        <f>countifs(Data!$D$2:$D$87,"2024",Data!$A$2:$A$87,"NA",Data!$O$2:$O$87,"High")</f>
        <v>0</v>
      </c>
      <c r="Q7" s="16">
        <f t="shared" si="5"/>
        <v>5</v>
      </c>
      <c r="R7" s="14">
        <f>countifs(Data!$D$2:$D$87,"2024",Data!$A$2:$A$87,"NA",Data!$O$2:$O$87,"Low")</f>
        <v>5</v>
      </c>
      <c r="S7" s="14">
        <f>countifs(Data!$D$2:$D$87,"2024",Data!$A$2:$A$87,"NA",Data!$O$2:$O$87,"Very Low")</f>
        <v>0</v>
      </c>
      <c r="T7" s="14">
        <f>countifs(Data!$D$2:$D$87,"2024",Data!$A$2:$A$87,"NA",Data!$O$2:$O$87,"None")</f>
        <v>0</v>
      </c>
      <c r="V7" s="14">
        <f>countifs(Data!$D$2:$D$87,"2024",Data!$A$2:$A$87,"NA",Data!$I$2:$I$87,"Very High")</f>
        <v>0</v>
      </c>
      <c r="W7" s="14">
        <f>countifs(Data!$D$2:$D$87,"2024",Data!$A$2:$A$87,"NA",Data!$I$2:$I$87,"High")</f>
        <v>0</v>
      </c>
      <c r="X7" s="16">
        <f t="shared" si="6"/>
        <v>0</v>
      </c>
      <c r="Y7" s="16">
        <f>countifs(Data!$D$2:$D$87,"2024",Data!$A$2:$A$87,"NA",Data!$I$2:$I$87,"Medium")</f>
        <v>1</v>
      </c>
      <c r="Z7" s="16">
        <f t="shared" si="7"/>
        <v>4</v>
      </c>
      <c r="AA7" s="14">
        <f>countifs(Data!$D$2:$D$87,"2024",Data!$A$2:$A$87,"NA",Data!$I$2:$I$87,"Low")</f>
        <v>0</v>
      </c>
      <c r="AB7" s="14">
        <f>countifs(Data!$D$2:$D$87,"2024",Data!$A$2:$A$87,"NA",Data!$I$2:$I$87,"Very Low")</f>
        <v>4</v>
      </c>
      <c r="AC7" s="14">
        <f>countifs(Data!$D$2:$D$87,"2024",Data!$A$2:$A$87,"NA",Data!$I$2:$I$87,"None")</f>
        <v>0</v>
      </c>
      <c r="AE7" s="17">
        <f>countifs(Data!$D$2:$D$87,"2024",Data!$A$2:$A$87,"NA",Data!$H$2:$H$87,"Yes")</f>
        <v>1</v>
      </c>
      <c r="AF7" s="17">
        <f>countifs(Data!$D$2:$D$87,"2024",Data!$A$2:$A$87,"NA",Data!$H$2:$H$87,"No")</f>
        <v>4</v>
      </c>
    </row>
    <row r="8">
      <c r="A8" s="45"/>
      <c r="F8" s="15"/>
      <c r="G8" s="15"/>
      <c r="H8" s="15"/>
      <c r="O8" s="16"/>
      <c r="P8" s="16"/>
      <c r="Q8" s="16"/>
      <c r="X8" s="16"/>
      <c r="Y8" s="16"/>
      <c r="Z8" s="16"/>
      <c r="AE8" s="17"/>
      <c r="AF8" s="17"/>
    </row>
    <row r="9">
      <c r="A9" s="44"/>
      <c r="C9" s="1" t="s">
        <v>7</v>
      </c>
      <c r="F9" s="46"/>
      <c r="G9" s="47" t="s">
        <v>7</v>
      </c>
      <c r="H9" s="4"/>
      <c r="O9" s="6"/>
      <c r="P9" s="5" t="s">
        <v>7</v>
      </c>
      <c r="Q9" s="5"/>
      <c r="X9" s="7"/>
      <c r="Y9" s="7" t="s">
        <v>7</v>
      </c>
      <c r="Z9" s="7"/>
      <c r="AE9" s="48" t="s">
        <v>7</v>
      </c>
      <c r="AF9" s="10"/>
    </row>
    <row r="10">
      <c r="A10" s="45">
        <v>2019.0</v>
      </c>
      <c r="B10" s="14">
        <f>countifs(Data!$D$2:$D$87,"2019",Data!$A$2:$A$87,"KP")</f>
        <v>16</v>
      </c>
      <c r="C10" s="14">
        <f t="shared" ref="C10:C11" si="8">sum(F10:H10)</f>
        <v>16</v>
      </c>
      <c r="D10" s="14">
        <f>countifs(Data!$D$2:$D$87,"2019",Data!$A$2:$A$87,"KP",Data!$G$2:$G$87,"Very High")</f>
        <v>7</v>
      </c>
      <c r="E10" s="14">
        <f>countifs(Data!$D$2:$D$87,"2019",Data!$A$2:$A$87,"KP",Data!$G$2:$G$87,"High")</f>
        <v>3</v>
      </c>
      <c r="F10" s="15">
        <f t="shared" ref="F10:F11" si="9">SUM(D10:E10)</f>
        <v>10</v>
      </c>
      <c r="G10" s="15">
        <f>countifs(Data!$D$2:$D$87,"2019",Data!$A$2:$A$87,"KP",Data!$G$2:$G$87,"Medium")</f>
        <v>1</v>
      </c>
      <c r="H10" s="15">
        <f t="shared" ref="H10:H11" si="10">SUM(I10:J10)</f>
        <v>5</v>
      </c>
      <c r="I10" s="14">
        <f>countifs(Data!$D$2:$D$87,"2019",Data!$A$2:$A$87,"KP",Data!$G$2:$G$87,"Low")</f>
        <v>4</v>
      </c>
      <c r="J10" s="14">
        <f>countifs(Data!$D$2:$D$87,"2019",Data!$A$2:$A$87,"KP",Data!$G$2:$G$87,"Very Low")</f>
        <v>1</v>
      </c>
      <c r="K10" s="14">
        <f>countifs(Data!$D$2:$D$87,"2019",Data!$A$2:$A$87,"KP",Data!$G$2:$G$87,"None")</f>
        <v>0</v>
      </c>
      <c r="M10" s="14">
        <f>countifs(Data!$D$2:$D$87,"2019",Data!$A$2:$A$87,"KP",Data!$O$2:$O$87,"Very High")</f>
        <v>5</v>
      </c>
      <c r="N10" s="14">
        <f>countifs(Data!$D$2:$D$87,"2019",Data!$A$2:$A$87,"KP",Data!$O$2:$O$87,"High")</f>
        <v>2</v>
      </c>
      <c r="O10" s="16">
        <f t="shared" ref="O10:O11" si="11">sum(M10:N10)</f>
        <v>7</v>
      </c>
      <c r="P10" s="16">
        <f>countifs(Data!$D$2:$D$87,"2019",Data!$A$2:$A$87,"KP",Data!$O$2:$O$87,"Medium")</f>
        <v>2</v>
      </c>
      <c r="Q10" s="16">
        <f t="shared" ref="Q10:Q11" si="12">SUM(R10:T10)</f>
        <v>7</v>
      </c>
      <c r="R10" s="14">
        <f>countifs(Data!$D$2:$D$87,"2019",Data!$A$2:$A$87,"KP",Data!$O$2:$O$87,"Low")</f>
        <v>5</v>
      </c>
      <c r="S10" s="14">
        <f>countifs(Data!$D$2:$D$87,"2019",Data!$A$2:$A$87,"KP",Data!$O$2:$O$87,"Very Low")</f>
        <v>0</v>
      </c>
      <c r="T10" s="14">
        <f>countifs(Data!$D$2:$D$87,"2019",Data!$A$2:$A$87,"KP",Data!$O$2:$O$87,"None")</f>
        <v>2</v>
      </c>
      <c r="V10" s="14">
        <f>countifs(Data!$D$2:$D$87,"2019",Data!$A$2:$A$87,"KP",Data!$I$2:$I$87,"Very High")</f>
        <v>5</v>
      </c>
      <c r="W10" s="14">
        <f>countifs(Data!$D$2:$D$87,"2019",Data!$A$2:$A$87,"KP",Data!$I$2:$I$87,"High")</f>
        <v>0</v>
      </c>
      <c r="X10" s="16">
        <f t="shared" ref="X10:X11" si="13">sum(V10:W10)</f>
        <v>5</v>
      </c>
      <c r="Y10" s="16">
        <f>countifs(Data!$D$2:$D$87,"2019",Data!$A$2:$A$87,"KP",Data!$I$2:$I$87,"Medium")</f>
        <v>2</v>
      </c>
      <c r="Z10" s="16">
        <f t="shared" ref="Z10:Z11" si="14">sum(AA10:AC10)</f>
        <v>9</v>
      </c>
      <c r="AA10" s="14">
        <f>countifs(Data!$D$2:$D$87,"2019",Data!$A$2:$A$87,"KP",Data!$I$2:$I$87,"Low")</f>
        <v>8</v>
      </c>
      <c r="AB10" s="14">
        <f>countifs(Data!$D$2:$D$87,"2019",Data!$A$2:$A$87,"KP",Data!$I$2:$I$87,"Very Low")</f>
        <v>0</v>
      </c>
      <c r="AC10" s="14">
        <f>countifs(Data!$D$2:$D$87,"2019",Data!$A$2:$A$87,"KP",Data!$I$2:$I$87,"None")</f>
        <v>1</v>
      </c>
      <c r="AE10" s="17">
        <f>countifs(Data!$D$2:$D$87,"2019",Data!$A$2:$A$87,"KP",Data!$H$2:$H$87,"Yes")</f>
        <v>9</v>
      </c>
      <c r="AF10" s="17">
        <f>countifs(Data!$D$2:$D$87,"2019",Data!$A$2:$A$87,"KP",Data!$H$2:$H$87,"No")</f>
        <v>7</v>
      </c>
    </row>
    <row r="11">
      <c r="A11" s="45">
        <v>2024.0</v>
      </c>
      <c r="C11" s="14">
        <f t="shared" si="8"/>
        <v>15</v>
      </c>
      <c r="D11" s="14">
        <f>countifs(Data!$D$2:$D$87,"2024",Data!$A$2:$A$87,"KP",Data!$G$2:$G$87,"Very High")</f>
        <v>5</v>
      </c>
      <c r="E11" s="14">
        <f>countifs(Data!$D$2:$D$87,"2024",Data!$A$2:$A$87,"KP",Data!$G$2:$G$87,"High")</f>
        <v>6</v>
      </c>
      <c r="F11" s="15">
        <f t="shared" si="9"/>
        <v>11</v>
      </c>
      <c r="G11" s="15">
        <f>countifs(Data!$D$2:$D$87,"2024",Data!$A$2:$A$87,"KP",Data!$G$2:$G$87,"Medium")</f>
        <v>2</v>
      </c>
      <c r="H11" s="15">
        <f t="shared" si="10"/>
        <v>2</v>
      </c>
      <c r="I11" s="14">
        <f>countifs(Data!$D$2:$D$87,"2024",Data!$A$2:$A$87,"KP",Data!$G$2:$G$87,"Low")</f>
        <v>2</v>
      </c>
      <c r="J11" s="14">
        <f>countifs(Data!$D$2:$D$87,"2024",Data!$A$2:$A$87,"KP",Data!$G$2:$G$87,"Very Low")</f>
        <v>0</v>
      </c>
      <c r="K11" s="14">
        <f>countifs(Data!$D$2:$D$87,"2024",Data!$A$2:$A$87,"KP",Data!$G$2:$G$87,"None")</f>
        <v>0</v>
      </c>
      <c r="M11" s="14">
        <f>countifs(Data!$D$2:$D$87,"2024",Data!$A$2:$A$87,"KP",Data!$O$2:$O$87,"Very High")</f>
        <v>1</v>
      </c>
      <c r="N11" s="14">
        <f>countifs(Data!$D$2:$D$87,"2024",Data!$A$2:$A$87,"KP",Data!$O$2:$O$87,"High")</f>
        <v>3</v>
      </c>
      <c r="O11" s="16">
        <f t="shared" si="11"/>
        <v>4</v>
      </c>
      <c r="P11" s="16">
        <f>countifs(Data!$D$2:$D$87,"2024",Data!$A$2:$A$87,"KP",Data!$O$2:$O$87,"Medium")</f>
        <v>6</v>
      </c>
      <c r="Q11" s="16">
        <f t="shared" si="12"/>
        <v>5</v>
      </c>
      <c r="R11" s="14">
        <f>countifs(Data!$D$2:$D$87,"2024",Data!$A$2:$A$87,"KP",Data!$O$2:$O$87,"Low")</f>
        <v>5</v>
      </c>
      <c r="S11" s="14">
        <f>countifs(Data!$D$2:$D$87,"2024",Data!$A$2:$A$87,"KP",Data!$O$2:$O$87,"Very Low")</f>
        <v>0</v>
      </c>
      <c r="T11" s="14">
        <f>countifs(Data!$D$2:$D$87,"2024",Data!$A$2:$A$87,"KP",Data!$O$2:$O$87,"None")</f>
        <v>0</v>
      </c>
      <c r="V11" s="14">
        <f>countifs(Data!$D$2:$D$87,"2024",Data!$A$2:$A$87,"KP",Data!$I$2:$I$87,"Very High")</f>
        <v>1</v>
      </c>
      <c r="W11" s="14">
        <f>countifs(Data!$D$2:$D$87,"2024",Data!$A$2:$A$87,"KP",Data!$I$2:$I$87,"High")</f>
        <v>3</v>
      </c>
      <c r="X11" s="16">
        <f t="shared" si="13"/>
        <v>4</v>
      </c>
      <c r="Y11" s="16">
        <f>countifs(Data!$D$2:$D$87,"2024",Data!$A$2:$A$87,"KP",Data!$I$2:$I$87,"Medium")</f>
        <v>2</v>
      </c>
      <c r="Z11" s="16">
        <f t="shared" si="14"/>
        <v>9</v>
      </c>
      <c r="AA11" s="14">
        <f>countifs(Data!$D$2:$D$87,"2024",Data!$A$2:$A$87,"KP",Data!$I$2:$I$87,"Low")</f>
        <v>6</v>
      </c>
      <c r="AB11" s="14">
        <f>countifs(Data!$D$2:$D$87,"2024",Data!$A$2:$A$87,"KP",Data!$I$2:$I$87,"Very Low")</f>
        <v>3</v>
      </c>
      <c r="AC11" s="14">
        <f>countifs(Data!$D$2:$D$87,"2024",Data!$A$2:$A$87,"KP",Data!$I$2:$I$87,"None")</f>
        <v>0</v>
      </c>
      <c r="AE11" s="17">
        <f>countifs(Data!$D$2:$D$87,"2024",Data!$A$2:$A$87,"KP",Data!$H$2:$H$87,"Yes")</f>
        <v>9</v>
      </c>
      <c r="AF11" s="17">
        <f>countifs(Data!$D$2:$D$87,"2024",Data!$A$2:$A$87,"KP",Data!$H$2:$H$87,"No")</f>
        <v>6</v>
      </c>
    </row>
    <row r="12">
      <c r="A12" s="44"/>
    </row>
    <row r="13">
      <c r="A13" s="44"/>
    </row>
    <row r="14">
      <c r="A14" s="45" t="s">
        <v>4</v>
      </c>
      <c r="E14" s="45" t="s">
        <v>4</v>
      </c>
      <c r="F14" s="11" t="s">
        <v>9</v>
      </c>
      <c r="G14" s="11" t="s">
        <v>11</v>
      </c>
      <c r="H14" s="11" t="s">
        <v>13</v>
      </c>
      <c r="N14" s="45" t="s">
        <v>4</v>
      </c>
      <c r="O14" s="11" t="s">
        <v>9</v>
      </c>
      <c r="P14" s="11" t="s">
        <v>11</v>
      </c>
      <c r="Q14" s="11" t="s">
        <v>13</v>
      </c>
      <c r="W14" s="45" t="s">
        <v>4</v>
      </c>
      <c r="X14" s="11" t="s">
        <v>9</v>
      </c>
      <c r="Y14" s="11" t="s">
        <v>11</v>
      </c>
      <c r="Z14" s="11" t="s">
        <v>13</v>
      </c>
      <c r="AD14" s="45" t="s">
        <v>4</v>
      </c>
      <c r="AE14" s="11" t="s">
        <v>16</v>
      </c>
      <c r="AF14" s="11" t="s">
        <v>17</v>
      </c>
    </row>
    <row r="15">
      <c r="A15" s="45" t="s">
        <v>192</v>
      </c>
      <c r="E15" s="45" t="s">
        <v>192</v>
      </c>
      <c r="F15" s="49">
        <f t="shared" ref="F15:H15" si="15">F3/$C$3</f>
        <v>0.4166666667</v>
      </c>
      <c r="G15" s="49">
        <f t="shared" si="15"/>
        <v>0.08333333333</v>
      </c>
      <c r="H15" s="49">
        <f t="shared" si="15"/>
        <v>0.5</v>
      </c>
      <c r="I15" s="50">
        <f t="shared" ref="I15:I21" si="19">sum(F15:H15)</f>
        <v>1</v>
      </c>
      <c r="N15" s="45" t="s">
        <v>192</v>
      </c>
      <c r="O15" s="49">
        <f t="shared" ref="O15:Q15" si="16">O3/$C$3</f>
        <v>0.1666666667</v>
      </c>
      <c r="P15" s="49">
        <f t="shared" si="16"/>
        <v>0.25</v>
      </c>
      <c r="Q15" s="49">
        <f t="shared" si="16"/>
        <v>0.5833333333</v>
      </c>
      <c r="S15" s="50">
        <f t="shared" ref="S15:S21" si="21">sum(O15:Q15)</f>
        <v>1</v>
      </c>
      <c r="W15" s="45" t="s">
        <v>192</v>
      </c>
      <c r="X15" s="49">
        <f>X3/$C$3</f>
        <v>0.1666666667</v>
      </c>
      <c r="Y15" s="49"/>
      <c r="Z15" s="49">
        <f>Z3/$C$3</f>
        <v>0.8333333333</v>
      </c>
      <c r="AB15" s="50">
        <f t="shared" ref="AB15:AB21" si="22">sum(X15:Z15)</f>
        <v>1</v>
      </c>
      <c r="AD15" s="45" t="s">
        <v>192</v>
      </c>
      <c r="AE15" s="51">
        <f t="shared" ref="AE15:AF15" si="17">AE3/$C$3</f>
        <v>0.4166666667</v>
      </c>
      <c r="AF15" s="51">
        <f t="shared" si="17"/>
        <v>0.5833333333</v>
      </c>
    </row>
    <row r="16">
      <c r="A16" s="45" t="s">
        <v>193</v>
      </c>
      <c r="E16" s="45" t="s">
        <v>193</v>
      </c>
      <c r="F16" s="49">
        <f t="shared" ref="F16:H16" si="18">F4/$C$4</f>
        <v>0.8181818182</v>
      </c>
      <c r="G16" s="49">
        <f t="shared" si="18"/>
        <v>0.09090909091</v>
      </c>
      <c r="H16" s="49">
        <f t="shared" si="18"/>
        <v>0.09090909091</v>
      </c>
      <c r="I16" s="50">
        <f t="shared" si="19"/>
        <v>1</v>
      </c>
      <c r="N16" s="45" t="s">
        <v>193</v>
      </c>
      <c r="O16" s="49">
        <f t="shared" ref="O16:Q16" si="20">O4/$C$4</f>
        <v>0.6363636364</v>
      </c>
      <c r="P16" s="49">
        <f t="shared" si="20"/>
        <v>0.09090909091</v>
      </c>
      <c r="Q16" s="49">
        <f t="shared" si="20"/>
        <v>0.2727272727</v>
      </c>
      <c r="S16" s="50">
        <f t="shared" si="21"/>
        <v>1</v>
      </c>
      <c r="W16" s="45" t="s">
        <v>193</v>
      </c>
      <c r="X16" s="49">
        <f>X4/$C$4</f>
        <v>0.4545454545</v>
      </c>
      <c r="Y16" s="49"/>
      <c r="Z16" s="49">
        <f>Z4/$C$4</f>
        <v>0.5454545455</v>
      </c>
      <c r="AB16" s="50">
        <f t="shared" si="22"/>
        <v>1</v>
      </c>
      <c r="AD16" s="45" t="s">
        <v>193</v>
      </c>
      <c r="AE16" s="51">
        <f t="shared" ref="AE16:AF16" si="23">AE4/$C$3</f>
        <v>0.6666666667</v>
      </c>
      <c r="AF16" s="51">
        <f t="shared" si="23"/>
        <v>0.25</v>
      </c>
    </row>
    <row r="17">
      <c r="A17" s="45" t="s">
        <v>194</v>
      </c>
      <c r="E17" s="45" t="s">
        <v>194</v>
      </c>
      <c r="F17" s="49">
        <f>F5/$C$5</f>
        <v>0.7272727273</v>
      </c>
      <c r="G17" s="49">
        <f t="shared" ref="G17:G18" si="27">G5/$C$4</f>
        <v>0.09090909091</v>
      </c>
      <c r="H17" s="49">
        <f>H5/$C$5</f>
        <v>0.1818181818</v>
      </c>
      <c r="I17" s="50">
        <f t="shared" si="19"/>
        <v>1</v>
      </c>
      <c r="N17" s="45" t="s">
        <v>194</v>
      </c>
      <c r="O17" s="49">
        <f t="shared" ref="O17:Q17" si="24">O5/$C$5</f>
        <v>0.4545454545</v>
      </c>
      <c r="P17" s="49">
        <f t="shared" si="24"/>
        <v>0.1818181818</v>
      </c>
      <c r="Q17" s="49">
        <f t="shared" si="24"/>
        <v>0.3636363636</v>
      </c>
      <c r="S17" s="50">
        <f t="shared" si="21"/>
        <v>1</v>
      </c>
      <c r="W17" s="45" t="s">
        <v>194</v>
      </c>
      <c r="X17" s="49">
        <f t="shared" ref="X17:Z17" si="25">X5/$C$5</f>
        <v>0.5454545455</v>
      </c>
      <c r="Y17" s="49">
        <f t="shared" si="25"/>
        <v>0.09090909091</v>
      </c>
      <c r="Z17" s="49">
        <f t="shared" si="25"/>
        <v>0.3636363636</v>
      </c>
      <c r="AB17" s="50">
        <f t="shared" si="22"/>
        <v>1</v>
      </c>
      <c r="AD17" s="45" t="s">
        <v>194</v>
      </c>
      <c r="AE17" s="51">
        <f t="shared" ref="AE17:AF17" si="26">AE5/$C$3</f>
        <v>0.5</v>
      </c>
      <c r="AF17" s="51">
        <f t="shared" si="26"/>
        <v>0.4166666667</v>
      </c>
    </row>
    <row r="18">
      <c r="A18" s="45" t="s">
        <v>195</v>
      </c>
      <c r="E18" s="45" t="s">
        <v>195</v>
      </c>
      <c r="F18" s="49">
        <f>F6/$C$6</f>
        <v>0.4166666667</v>
      </c>
      <c r="G18" s="49">
        <f t="shared" si="27"/>
        <v>0</v>
      </c>
      <c r="H18" s="49">
        <f>H6/$C$6</f>
        <v>0.5833333333</v>
      </c>
      <c r="I18" s="50">
        <f t="shared" si="19"/>
        <v>1</v>
      </c>
      <c r="N18" s="45" t="s">
        <v>195</v>
      </c>
      <c r="O18" s="49">
        <f>O6/$C$6</f>
        <v>0.3333333333</v>
      </c>
      <c r="P18" s="49"/>
      <c r="Q18" s="49">
        <f>Q6/$C$6</f>
        <v>0.6666666667</v>
      </c>
      <c r="S18" s="50">
        <f t="shared" si="21"/>
        <v>1</v>
      </c>
      <c r="W18" s="45" t="s">
        <v>195</v>
      </c>
      <c r="X18" s="49">
        <f>X6/$C$6</f>
        <v>0.1666666667</v>
      </c>
      <c r="Y18" s="49"/>
      <c r="Z18" s="49">
        <f>Z6/$C$6</f>
        <v>0.8333333333</v>
      </c>
      <c r="AB18" s="50">
        <f t="shared" si="22"/>
        <v>1</v>
      </c>
      <c r="AD18" s="45" t="s">
        <v>195</v>
      </c>
      <c r="AE18" s="51">
        <f t="shared" ref="AE18:AF18" si="28">AE6/$C$3</f>
        <v>0.4166666667</v>
      </c>
      <c r="AF18" s="51">
        <f t="shared" si="28"/>
        <v>0.5833333333</v>
      </c>
    </row>
    <row r="19">
      <c r="A19" s="45" t="s">
        <v>196</v>
      </c>
      <c r="E19" s="45" t="s">
        <v>196</v>
      </c>
      <c r="F19" s="49">
        <f t="shared" ref="F19:H19" si="29">F10/$C$10</f>
        <v>0.625</v>
      </c>
      <c r="G19" s="49">
        <f t="shared" si="29"/>
        <v>0.0625</v>
      </c>
      <c r="H19" s="49">
        <f t="shared" si="29"/>
        <v>0.3125</v>
      </c>
      <c r="I19" s="50">
        <f t="shared" si="19"/>
        <v>1</v>
      </c>
      <c r="N19" s="45" t="s">
        <v>196</v>
      </c>
      <c r="O19" s="49">
        <f t="shared" ref="O19:Q19" si="30">O10/$C$10</f>
        <v>0.4375</v>
      </c>
      <c r="P19" s="49">
        <f t="shared" si="30"/>
        <v>0.125</v>
      </c>
      <c r="Q19" s="49">
        <f t="shared" si="30"/>
        <v>0.4375</v>
      </c>
      <c r="S19" s="50">
        <f t="shared" si="21"/>
        <v>1</v>
      </c>
      <c r="W19" s="45" t="s">
        <v>196</v>
      </c>
      <c r="X19" s="49">
        <f t="shared" ref="X19:Z19" si="31">X10/$C$10</f>
        <v>0.3125</v>
      </c>
      <c r="Y19" s="49">
        <f t="shared" si="31"/>
        <v>0.125</v>
      </c>
      <c r="Z19" s="49">
        <f t="shared" si="31"/>
        <v>0.5625</v>
      </c>
      <c r="AB19" s="50">
        <f t="shared" si="22"/>
        <v>1</v>
      </c>
      <c r="AD19" s="45" t="s">
        <v>196</v>
      </c>
      <c r="AE19" s="49">
        <f t="shared" ref="AE19:AF19" si="32">AE10/$C$10</f>
        <v>0.5625</v>
      </c>
      <c r="AF19" s="49">
        <f t="shared" si="32"/>
        <v>0.4375</v>
      </c>
    </row>
    <row r="20">
      <c r="A20" s="45" t="s">
        <v>197</v>
      </c>
      <c r="E20" s="45" t="s">
        <v>197</v>
      </c>
      <c r="F20" s="49">
        <f t="shared" ref="F20:H20" si="33">F7/$C$7</f>
        <v>0.4</v>
      </c>
      <c r="G20" s="49">
        <f t="shared" si="33"/>
        <v>0.4</v>
      </c>
      <c r="H20" s="49">
        <f t="shared" si="33"/>
        <v>0.2</v>
      </c>
      <c r="I20" s="50">
        <f t="shared" si="19"/>
        <v>1</v>
      </c>
      <c r="N20" s="45" t="s">
        <v>197</v>
      </c>
      <c r="O20" s="49"/>
      <c r="P20" s="49"/>
      <c r="Q20" s="49">
        <f>Q7/$C$7</f>
        <v>1</v>
      </c>
      <c r="S20" s="50">
        <f t="shared" si="21"/>
        <v>1</v>
      </c>
      <c r="W20" s="45" t="s">
        <v>197</v>
      </c>
      <c r="X20" s="49"/>
      <c r="Y20" s="49">
        <f t="shared" ref="Y20:Z20" si="34">Y7/$C$7</f>
        <v>0.2</v>
      </c>
      <c r="Z20" s="49">
        <f t="shared" si="34"/>
        <v>0.8</v>
      </c>
      <c r="AB20" s="50">
        <f t="shared" si="22"/>
        <v>1</v>
      </c>
      <c r="AD20" s="45" t="s">
        <v>197</v>
      </c>
      <c r="AE20" s="49">
        <f t="shared" ref="AE20:AF20" si="35">AE7/$C$7</f>
        <v>0.2</v>
      </c>
      <c r="AF20" s="49">
        <f t="shared" si="35"/>
        <v>0.8</v>
      </c>
    </row>
    <row r="21">
      <c r="A21" s="45" t="s">
        <v>198</v>
      </c>
      <c r="E21" s="1" t="s">
        <v>198</v>
      </c>
      <c r="F21" s="49">
        <f t="shared" ref="F21:H21" si="36">F11/$C$11</f>
        <v>0.7333333333</v>
      </c>
      <c r="G21" s="49">
        <f t="shared" si="36"/>
        <v>0.1333333333</v>
      </c>
      <c r="H21" s="49">
        <f t="shared" si="36"/>
        <v>0.1333333333</v>
      </c>
      <c r="I21" s="50">
        <f t="shared" si="19"/>
        <v>1</v>
      </c>
      <c r="N21" s="1" t="s">
        <v>198</v>
      </c>
      <c r="O21" s="49">
        <f t="shared" ref="O21:Q21" si="37">O11/$C$11</f>
        <v>0.2666666667</v>
      </c>
      <c r="P21" s="49">
        <f t="shared" si="37"/>
        <v>0.4</v>
      </c>
      <c r="Q21" s="49">
        <f t="shared" si="37"/>
        <v>0.3333333333</v>
      </c>
      <c r="S21" s="50">
        <f t="shared" si="21"/>
        <v>1</v>
      </c>
      <c r="W21" s="1" t="s">
        <v>198</v>
      </c>
      <c r="X21" s="49">
        <f t="shared" ref="X21:Z21" si="38">X11/$C$11</f>
        <v>0.2666666667</v>
      </c>
      <c r="Y21" s="49">
        <f t="shared" si="38"/>
        <v>0.1333333333</v>
      </c>
      <c r="Z21" s="49">
        <f t="shared" si="38"/>
        <v>0.6</v>
      </c>
      <c r="AB21" s="50">
        <f t="shared" si="22"/>
        <v>1</v>
      </c>
      <c r="AD21" s="1" t="s">
        <v>198</v>
      </c>
      <c r="AE21" s="49">
        <f t="shared" ref="AE21:AF21" si="39">AE11/$C$11</f>
        <v>0.6</v>
      </c>
      <c r="AF21" s="49">
        <f t="shared" si="39"/>
        <v>0.4</v>
      </c>
    </row>
    <row r="22">
      <c r="A22" s="44"/>
    </row>
    <row r="23">
      <c r="A23" s="44"/>
    </row>
    <row r="24">
      <c r="A24" s="44"/>
    </row>
    <row r="25">
      <c r="A25" s="44"/>
    </row>
    <row r="26">
      <c r="A26" s="44"/>
    </row>
    <row r="27">
      <c r="A27" s="44"/>
    </row>
    <row r="28">
      <c r="A28" s="44"/>
    </row>
    <row r="29">
      <c r="A29" s="44"/>
    </row>
    <row r="30">
      <c r="A30" s="44"/>
    </row>
    <row r="31">
      <c r="A31" s="44"/>
    </row>
    <row r="32">
      <c r="A32" s="44"/>
    </row>
    <row r="33">
      <c r="A33" s="44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>
      <c r="A43" s="44"/>
      <c r="L43" s="1" t="s">
        <v>199</v>
      </c>
    </row>
    <row r="44">
      <c r="A44" s="44"/>
      <c r="L44" s="1" t="s">
        <v>200</v>
      </c>
    </row>
    <row r="45">
      <c r="A45" s="44"/>
    </row>
    <row r="46">
      <c r="A46" s="44"/>
    </row>
    <row r="47">
      <c r="A47" s="44"/>
    </row>
    <row r="48">
      <c r="A48" s="44"/>
    </row>
    <row r="49">
      <c r="A49" s="44"/>
    </row>
    <row r="50">
      <c r="A50" s="44"/>
    </row>
    <row r="51">
      <c r="A51" s="44"/>
    </row>
    <row r="52">
      <c r="A52" s="44"/>
    </row>
    <row r="53">
      <c r="A53" s="44"/>
    </row>
    <row r="54">
      <c r="A54" s="44"/>
    </row>
    <row r="55">
      <c r="A55" s="44"/>
    </row>
    <row r="56">
      <c r="A56" s="44"/>
    </row>
    <row r="57">
      <c r="A57" s="44"/>
    </row>
    <row r="58">
      <c r="A58" s="44"/>
    </row>
    <row r="59">
      <c r="A59" s="44"/>
    </row>
    <row r="60">
      <c r="A60" s="44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4"/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  <row r="1001">
      <c r="A1001" s="44"/>
    </row>
    <row r="1002">
      <c r="A1002" s="44"/>
    </row>
    <row r="1003">
      <c r="A1003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57"/>
    <col customWidth="1" min="2" max="2" width="5.14"/>
    <col hidden="1" min="3" max="3" width="14.43"/>
    <col customWidth="1" min="4" max="4" width="10.0"/>
    <col customWidth="1" min="5" max="5" width="9.43"/>
    <col customWidth="1" min="6" max="7" width="9.71"/>
    <col customWidth="1" min="8" max="9" width="7.71"/>
    <col customWidth="1" min="10" max="10" width="9.57"/>
    <col customWidth="1" min="11" max="11" width="9.0"/>
    <col customWidth="1" min="13" max="13" width="9.71"/>
    <col customWidth="1" min="14" max="14" width="5.71"/>
    <col customWidth="1" min="15" max="15" width="6.29"/>
    <col customWidth="1" min="16" max="16" width="8.43"/>
    <col customWidth="1" min="17" max="17" width="6.29"/>
    <col customWidth="1" min="18" max="18" width="5.57"/>
    <col customWidth="1" min="19" max="19" width="9.86"/>
    <col customWidth="1" min="20" max="20" width="6.71"/>
    <col customWidth="1" min="21" max="21" width="8.57"/>
    <col customWidth="1" min="22" max="22" width="9.71"/>
    <col customWidth="1" min="23" max="23" width="7.29"/>
    <col customWidth="1" min="24" max="24" width="11.29"/>
    <col customWidth="1" min="25" max="25" width="9.86"/>
    <col customWidth="1" min="26" max="26" width="11.29"/>
    <col customWidth="1" min="27" max="27" width="9.14"/>
    <col customWidth="1" min="28" max="28" width="9.86"/>
    <col customWidth="1" min="29" max="29" width="8.57"/>
    <col customWidth="1" min="30" max="30" width="9.0"/>
  </cols>
  <sheetData>
    <row r="1">
      <c r="A1" s="1" t="s">
        <v>201</v>
      </c>
      <c r="C1" s="1"/>
      <c r="D1" s="52"/>
      <c r="E1" s="53"/>
      <c r="F1" s="52" t="s">
        <v>20</v>
      </c>
      <c r="G1" s="54"/>
      <c r="H1" s="54"/>
      <c r="I1" s="54"/>
      <c r="J1" s="54"/>
      <c r="K1" s="54"/>
      <c r="M1" s="55"/>
      <c r="N1" s="56"/>
      <c r="O1" s="56" t="s">
        <v>21</v>
      </c>
      <c r="P1" s="55"/>
      <c r="Q1" s="55"/>
      <c r="R1" s="55"/>
      <c r="S1" s="55"/>
      <c r="T1" s="55"/>
      <c r="V1" s="57"/>
      <c r="W1" s="58"/>
      <c r="X1" s="58" t="s">
        <v>22</v>
      </c>
      <c r="Y1" s="57"/>
      <c r="Z1" s="57"/>
      <c r="AA1" s="57"/>
      <c r="AB1" s="57"/>
      <c r="AC1" s="57"/>
    </row>
    <row r="2">
      <c r="A2" s="1" t="s">
        <v>4</v>
      </c>
      <c r="B2" s="1" t="s">
        <v>6</v>
      </c>
      <c r="C2" s="1" t="s">
        <v>5</v>
      </c>
      <c r="D2" s="1" t="s">
        <v>8</v>
      </c>
      <c r="E2" s="1" t="s">
        <v>9</v>
      </c>
      <c r="F2" s="11" t="s">
        <v>10</v>
      </c>
      <c r="G2" s="11" t="s">
        <v>11</v>
      </c>
      <c r="H2" s="11" t="s">
        <v>12</v>
      </c>
      <c r="I2" s="1" t="s">
        <v>13</v>
      </c>
      <c r="J2" s="1" t="s">
        <v>14</v>
      </c>
      <c r="K2" s="1" t="s">
        <v>15</v>
      </c>
      <c r="M2" s="1" t="s">
        <v>8</v>
      </c>
      <c r="N2" s="12" t="s">
        <v>9</v>
      </c>
      <c r="O2" s="11" t="s">
        <v>10</v>
      </c>
      <c r="P2" s="11" t="s">
        <v>11</v>
      </c>
      <c r="Q2" s="11" t="s">
        <v>12</v>
      </c>
      <c r="R2" s="1" t="s">
        <v>13</v>
      </c>
      <c r="S2" s="1" t="s">
        <v>14</v>
      </c>
      <c r="T2" s="1" t="s">
        <v>15</v>
      </c>
      <c r="V2" s="1" t="s">
        <v>8</v>
      </c>
      <c r="W2" s="12" t="s">
        <v>9</v>
      </c>
      <c r="X2" s="11" t="s">
        <v>10</v>
      </c>
      <c r="Y2" s="13" t="s">
        <v>11</v>
      </c>
      <c r="Z2" s="11" t="s">
        <v>12</v>
      </c>
      <c r="AA2" s="1" t="s">
        <v>13</v>
      </c>
      <c r="AB2" s="1" t="s">
        <v>14</v>
      </c>
      <c r="AC2" s="1" t="s">
        <v>15</v>
      </c>
    </row>
    <row r="3">
      <c r="A3" s="1">
        <v>2002.0</v>
      </c>
      <c r="B3" s="14">
        <v>12.0</v>
      </c>
      <c r="C3" s="14">
        <f>countifs(Data!$D$2:$D$87,"2002")</f>
        <v>12</v>
      </c>
      <c r="D3" s="14">
        <f>countifs(Data!$D$2:$D$87,"2002",Data!$A$2:$A$87,"NA",Data!$J$2:$J$87,"Very High")</f>
        <v>11</v>
      </c>
      <c r="E3" s="14">
        <f>countifs(Data!$D2:$D87,"2002",Data!$A2:$A87,"NA",Data!$J2:$J87,"High")</f>
        <v>0</v>
      </c>
      <c r="F3" s="15">
        <f t="shared" ref="F3:F7" si="1">SUM(D3:E3)</f>
        <v>11</v>
      </c>
      <c r="G3" s="15">
        <f>countifs(Data!$D2:$D87,"2002",Data!$A2:$A87,"NA",Data!$J2:$J87,"Medium")</f>
        <v>0</v>
      </c>
      <c r="H3" s="15">
        <f>SUM(I3:K3)</f>
        <v>1</v>
      </c>
      <c r="I3" s="14">
        <f>countifs(Data!$D2:$D87,"2002",Data!$A2:$A87,"NA",Data!$J2:$J87,"Low")</f>
        <v>0</v>
      </c>
      <c r="J3" s="14">
        <f>countifs(Data!$D2:$D87,"2002",Data!$A2:$A87,"NA",Data!$J2:$J87,"Very Low")</f>
        <v>1</v>
      </c>
      <c r="K3" s="14">
        <f>countifs(Data!$D2:$D87,"2002",Data!$A2:$A87,"NA",Data!$J2:$J87,"None")</f>
        <v>0</v>
      </c>
      <c r="M3" s="14">
        <f>countifs(Data!$D$2:$D$87,"2002",Data!$A$2:$A$87,"NA",Data!$L$2:$L$87,"Very High")</f>
        <v>0</v>
      </c>
      <c r="N3" s="14">
        <f>countifs(Data!$D2:$D87,"2002",Data!$A2:$A87,"NA",Data!$L2:$L87,"High")</f>
        <v>0</v>
      </c>
      <c r="O3" s="15">
        <f t="shared" ref="O3:O7" si="2">SUM(M3:N3)</f>
        <v>0</v>
      </c>
      <c r="P3" s="15">
        <f>countifs(Data!$D2:$D87,"2002",Data!$A2:$A87,"NA",Data!$L$2:$L87,"Medium")</f>
        <v>1</v>
      </c>
      <c r="Q3" s="15">
        <f t="shared" ref="Q3:Q7" si="3">SUM(R3:T3)</f>
        <v>11</v>
      </c>
      <c r="R3" s="14">
        <f>countifs(Data!$D2:$D87,"2002",Data!$A2:$A87,"NA",Data!$L2:$L87,"Low")</f>
        <v>4</v>
      </c>
      <c r="S3" s="14">
        <f>countifs(Data!$D2:$D87,"2002",Data!$A2:$A87,"NA",Data!$L2:$L87,"Very Low")</f>
        <v>0</v>
      </c>
      <c r="T3" s="14">
        <f>countifs(Data!$D2:$D87,"2002",Data!$A2:$A87,"NA",Data!$L2:$L87,"None")</f>
        <v>7</v>
      </c>
      <c r="V3" s="14">
        <f>countifs(Data!$D$2:$D$87,"2002",Data!$A$2:$A$87,"NA",Data!$N$2:$N$87,"Very High")</f>
        <v>0</v>
      </c>
      <c r="W3" s="14">
        <f>countifs(Data!$D2:$D87,"2002",Data!$A2:$A87,"NA",Data!$N2:$N87,"High")</f>
        <v>6</v>
      </c>
      <c r="X3" s="15">
        <f t="shared" ref="X3:X7" si="4">SUM(V3:W3)</f>
        <v>6</v>
      </c>
      <c r="Y3" s="15">
        <f>countifs(Data!$D2:$D87,"2002",Data!$A2:$A87,"NA",Data!$N$2:$N87,"Medium")</f>
        <v>0</v>
      </c>
      <c r="Z3" s="15">
        <f t="shared" ref="Z3:Z7" si="5">SUM(AA3:AC3)</f>
        <v>6</v>
      </c>
      <c r="AA3" s="14">
        <f>countifs(Data!$D2:$D87,"2002",Data!$A2:$A87,"NA",Data!$N2:$N87,"Low")</f>
        <v>5</v>
      </c>
      <c r="AB3" s="14">
        <f>countifs(Data!$D2:$D87,"2002",Data!$A2:$A87,"NA",Data!$N2:$N87,"Very Low")</f>
        <v>1</v>
      </c>
      <c r="AC3" s="14">
        <f>countifs(Data!$D2:$D87,"2002",Data!$A2:$A87,"NA",Data!$N2:$N87,"None")</f>
        <v>0</v>
      </c>
    </row>
    <row r="4">
      <c r="A4" s="1">
        <v>2008.0</v>
      </c>
      <c r="B4" s="14">
        <v>11.0</v>
      </c>
      <c r="C4" s="14">
        <f>countifs(Data!$D$2:$D$87,"2008")</f>
        <v>12</v>
      </c>
      <c r="D4" s="14">
        <f>countifs(Data!$D$2:$D$87,"2008",Data!$A$2:$A$87,"NA",Data!$J$2:$J$87,"Very High")</f>
        <v>4</v>
      </c>
      <c r="E4" s="14">
        <f>countifs(Data!$D$2:$D$87,"2008",Data!$A$2:$A$87,"NA",Data!$J$2:$J$87,"High")</f>
        <v>1</v>
      </c>
      <c r="F4" s="15">
        <f t="shared" si="1"/>
        <v>5</v>
      </c>
      <c r="G4" s="15">
        <f>countifs(Data!$D$2:$D$87,"2008",Data!$A$2:$A$87,"NA",Data!$J$2:$J$87,"Medium")</f>
        <v>1</v>
      </c>
      <c r="H4" s="15">
        <f t="shared" ref="H4:H7" si="6">SUM(I4:J4)</f>
        <v>5</v>
      </c>
      <c r="I4" s="14">
        <f>countifs(Data!$D$2:$D$87,"2008",Data!$A$2:$A$87,"NA",Data!$J$2:$J$87,"Low")</f>
        <v>1</v>
      </c>
      <c r="J4" s="14">
        <f>countifs(Data!$D$2:$D$87,"2008",Data!$A$2:$A$87,"NA",Data!$J$2:$J$87,"Very Low")</f>
        <v>4</v>
      </c>
      <c r="K4" s="14">
        <f>countifs(Data!$D$2:$D$87,"2008",Data!$A$2:$A$87,"NA",Data!$J$2:$J$87,"None")</f>
        <v>0</v>
      </c>
      <c r="M4" s="14">
        <f>countifs(Data!$D$2:$D$87,"2008",Data!$A$2:$A$87,"NA",Data!$L$2:$L$87,"Very High")</f>
        <v>0</v>
      </c>
      <c r="N4" s="14">
        <f>countifs(Data!$D$2:$D$87,"2008",Data!$A$2:$A$87,"NA",Data!$L$2:$L$87,"High")</f>
        <v>1</v>
      </c>
      <c r="O4" s="15">
        <f t="shared" si="2"/>
        <v>1</v>
      </c>
      <c r="P4" s="15">
        <f>countifs(Data!$D$2:$D$87,"2008",Data!$A$2:$A$87,"NA",Data!$L$2:$L$87,"Medium")</f>
        <v>3</v>
      </c>
      <c r="Q4" s="15">
        <f t="shared" si="3"/>
        <v>7</v>
      </c>
      <c r="R4" s="14">
        <f>countifs(Data!$D$2:$D$87,"2008",Data!$A$2:$A$87,"NA",Data!$L$2:$L$87,"Low")</f>
        <v>3</v>
      </c>
      <c r="S4" s="14">
        <f>countifs(Data!$D$2:$D$87,"2008",Data!$A$2:$A$87,"NA",Data!$L$2:$L$87,"Very Low")</f>
        <v>0</v>
      </c>
      <c r="T4" s="14">
        <f>countifs(Data!$D$2:$D$87,"2008",Data!$A$2:$A$87,"NA",Data!$L$2:$L$87,"None")</f>
        <v>4</v>
      </c>
      <c r="V4" s="14">
        <f>countifs(Data!$D$2:$D$87,"2008",Data!$A$2:$A$87,"NA",Data!$N$2:$N$87,"Very High")</f>
        <v>0</v>
      </c>
      <c r="W4" s="14">
        <f>countifs(Data!$D$2:$D$87,"2008",Data!$A$2:$A$87,"NA",Data!$N$2:$N$87,"High")</f>
        <v>10</v>
      </c>
      <c r="X4" s="15">
        <f t="shared" si="4"/>
        <v>10</v>
      </c>
      <c r="Y4" s="15">
        <f>countifs(Data!$D$2:$D$87,"2008",Data!$A$2:$A$87,"NA",Data!$N$2:$N$87,"Medium")</f>
        <v>1</v>
      </c>
      <c r="Z4" s="15">
        <f t="shared" si="5"/>
        <v>0</v>
      </c>
      <c r="AA4" s="14">
        <f>countifs(Data!$D$2:$D$87,"2008",Data!$A$2:$A$87,"NA",Data!$N$2:$N$87,"Low")</f>
        <v>0</v>
      </c>
      <c r="AB4" s="14">
        <f>countifs(Data!$D$2:$D$87,"2008",Data!$A$2:$A$87,"NA",Data!$N$2:$N$87,"Very Low")</f>
        <v>0</v>
      </c>
      <c r="AC4" s="14">
        <f>countifs(Data!$D$2:$D$87,"2008",Data!$A$2:$A$87,"NA",Data!$N$2:$N$87,"None")</f>
        <v>0</v>
      </c>
    </row>
    <row r="5">
      <c r="A5" s="1">
        <v>2013.0</v>
      </c>
      <c r="B5" s="14">
        <v>11.0</v>
      </c>
      <c r="C5" s="14">
        <f>countifs(Data!$D$2:$D$87,"2013")</f>
        <v>12</v>
      </c>
      <c r="D5" s="14">
        <f>countifs(Data!$D$2:$D$87,"2013",Data!$A$2:$A$87,"NA",Data!$J$2:$J$87,"Very High")</f>
        <v>1</v>
      </c>
      <c r="E5" s="14">
        <f>countifs(Data!$D$2:$D$87,"2013",Data!$A$2:$A$87,"NA",Data!$J$2:$J$87,"High")</f>
        <v>1</v>
      </c>
      <c r="F5" s="15">
        <f t="shared" si="1"/>
        <v>2</v>
      </c>
      <c r="G5" s="15">
        <f>countifs(Data!$D$2:$D$87,"2013",Data!$A$2:$A$87,"NA",Data!$J$2:$J$87,"Medium")</f>
        <v>0</v>
      </c>
      <c r="H5" s="15">
        <f t="shared" si="6"/>
        <v>9</v>
      </c>
      <c r="I5" s="14">
        <f>countifs(Data!$D$2:$D$87,"2013",Data!$A$2:$A$87,"NA",Data!$J$2:$J$87,"Low")</f>
        <v>1</v>
      </c>
      <c r="J5" s="14">
        <f>countifs(Data!$D$2:$D$87,"2013",Data!$A$2:$A$87,"NA",Data!$J$2:$J$87,"Very Low")</f>
        <v>8</v>
      </c>
      <c r="K5" s="14">
        <f>countifs(Data!$D$2:$D$87,"2013",Data!$A$2:$A$87,"NA",Data!$J$2:$J$87,"None")</f>
        <v>0</v>
      </c>
      <c r="M5" s="14">
        <f>countifs(Data!$D$2:$D$87,"2013",Data!$A$2:$A$87,"NA",Data!$L$2:$L$87,"Very High")</f>
        <v>2</v>
      </c>
      <c r="N5" s="14">
        <f>countifs(Data!$D$2:$D$87,"2013",Data!$A$2:$A$87,"NA",Data!$L$2:$L$87,"High")</f>
        <v>1</v>
      </c>
      <c r="O5" s="15">
        <f t="shared" si="2"/>
        <v>3</v>
      </c>
      <c r="P5" s="15">
        <f>countifs(Data!$D$2:$D$87,"2013",Data!$A$2:$A$87,"NA",Data!$L$2:$L$87,"Medium")</f>
        <v>0</v>
      </c>
      <c r="Q5" s="15">
        <f t="shared" si="3"/>
        <v>8</v>
      </c>
      <c r="R5" s="14">
        <f>countifs(Data!$D$2:$D$87,"2013",Data!$A$2:$A$87,"NA",Data!$L$2:$L$87,"Low")</f>
        <v>5</v>
      </c>
      <c r="S5" s="14">
        <f>countifs(Data!$D$2:$D$87,"2013",Data!$A$2:$A$87,"NA",Data!$L$2:$L$87,"Very Low")</f>
        <v>0</v>
      </c>
      <c r="T5" s="14">
        <f>countifs(Data!$D$2:$D$87,"2013",Data!$A$2:$A$87,"NA",Data!$L$2:$L$87,"None")</f>
        <v>3</v>
      </c>
      <c r="V5" s="14">
        <f>countifs(Data!$D$2:$D$87,"2013",Data!$A$2:$A$87,"NA",Data!$N$2:$N$87,"Very High")</f>
        <v>1</v>
      </c>
      <c r="W5" s="14">
        <f>countifs(Data!$D$2:$D$87,"2013",Data!$A$2:$A$87,"NA",Data!$N$2:$N$87,"High")</f>
        <v>8</v>
      </c>
      <c r="X5" s="15">
        <f t="shared" si="4"/>
        <v>9</v>
      </c>
      <c r="Y5" s="15">
        <f>countifs(Data!$D$2:$D$87,"2013",Data!$A$2:$A$87,"NA",Data!$N$2:$N$87,"Medium")</f>
        <v>1</v>
      </c>
      <c r="Z5" s="15">
        <f t="shared" si="5"/>
        <v>1</v>
      </c>
      <c r="AA5" s="14">
        <f>countifs(Data!$D$2:$D$87,"2013",Data!$A$2:$A$87,"NA",Data!$N$2:$N$87,"Low")</f>
        <v>1</v>
      </c>
      <c r="AB5" s="14">
        <f>countifs(Data!$D$2:$D$87,"2013",Data!$A$2:$A$87,"NA",Data!$N$2:$N$87,"Very Low")</f>
        <v>0</v>
      </c>
      <c r="AC5" s="14">
        <f>countifs(Data!$D$2:$D$87,"2013",Data!$A$2:$A$87,"NA",Data!$N$2:$N$87,"None")</f>
        <v>0</v>
      </c>
    </row>
    <row r="6">
      <c r="A6" s="1">
        <v>2018.0</v>
      </c>
      <c r="B6" s="1">
        <v>12.0</v>
      </c>
      <c r="C6" s="14">
        <f>countifs(Data!$D$2:$D$87,"2018")</f>
        <v>12</v>
      </c>
      <c r="D6" s="14">
        <f>countifs(Data!$D$2:$D$87,"2018",Data!$A$2:$A$87,"NA",Data!$J$2:$J$87,"Very High")</f>
        <v>5</v>
      </c>
      <c r="E6" s="14">
        <f>countifs(Data!$D$2:$D$87,"2018",Data!$A$2:$A$87,"NA",Data!$J$2:$J$87,"High")</f>
        <v>1</v>
      </c>
      <c r="F6" s="15">
        <f t="shared" si="1"/>
        <v>6</v>
      </c>
      <c r="G6" s="15">
        <f>countifs(Data!$D$2:$D$87,"2018",Data!$A$2:$A$87,"NA",Data!$J$2:$J$87,"Medium")</f>
        <v>0</v>
      </c>
      <c r="H6" s="15">
        <f t="shared" si="6"/>
        <v>6</v>
      </c>
      <c r="I6" s="14">
        <f>countifs(Data!$D$2:$D$87,"2018",Data!$A$2:$A$87,"NA",Data!$J$2:$J$87,"Low")</f>
        <v>0</v>
      </c>
      <c r="J6" s="14">
        <f>countifs(Data!$D$2:$D$87,"2018",Data!$A$2:$A$87,"NA",Data!$J$2:$J$87,"Very Low")</f>
        <v>6</v>
      </c>
      <c r="K6" s="14">
        <f>countifs(Data!$D$2:$D$87,"2018",Data!$A$2:$A$87,"NA",Data!$J$2:$J$87,"None")</f>
        <v>0</v>
      </c>
      <c r="M6" s="14">
        <f>countifs(Data!$D$2:$D$87,"2018",Data!$A$2:$A$87,"NA",Data!$L$2:$L$87,"Very High")</f>
        <v>0</v>
      </c>
      <c r="N6" s="14">
        <f>countifs(Data!$D$2:$D$87,"2018",Data!$A$2:$A$87,"NA",Data!$L$2:$L$87,"High")</f>
        <v>0</v>
      </c>
      <c r="O6" s="15">
        <f t="shared" si="2"/>
        <v>0</v>
      </c>
      <c r="P6" s="15">
        <f>countifs(Data!$D$2:$D$87,"2018",Data!$A$2:$A$87,"NA",Data!$L$2:$L$87,"Medium")</f>
        <v>3</v>
      </c>
      <c r="Q6" s="15">
        <f t="shared" si="3"/>
        <v>9</v>
      </c>
      <c r="R6" s="14">
        <f>countifs(Data!$D$2:$D$87,"2018",Data!$A$2:$A$87,"NA",Data!$L$2:$L$87,"Low")</f>
        <v>2</v>
      </c>
      <c r="S6" s="14">
        <f>countifs(Data!$D$2:$D$87,"2018",Data!$A$2:$A$87,"NA",Data!$L$2:$L$87,"Very Low")</f>
        <v>0</v>
      </c>
      <c r="T6" s="14">
        <f>countifs(Data!$D$2:$D$87,"2018",Data!$A$2:$A$87,"NA",Data!$L$2:$L$87,"None")</f>
        <v>7</v>
      </c>
      <c r="V6" s="14">
        <f>countifs(Data!$D$2:$D$87,"2018",Data!$A$2:$A$87,"NA",Data!$N$2:$N$87,"Very High")</f>
        <v>0</v>
      </c>
      <c r="W6" s="14">
        <f>countifs(Data!$D$2:$D$87,"2018",Data!$A$2:$A$87,"NA",Data!$N$2:$N$87,"High")</f>
        <v>2</v>
      </c>
      <c r="X6" s="15">
        <f t="shared" si="4"/>
        <v>2</v>
      </c>
      <c r="Y6" s="15">
        <f>countifs(Data!$D$2:$D$87,"2018",Data!$A$2:$A$87,"NA",Data!$N$2:$N$87,"Medium")</f>
        <v>6</v>
      </c>
      <c r="Z6" s="15">
        <f t="shared" si="5"/>
        <v>4</v>
      </c>
      <c r="AA6" s="14">
        <f>countifs(Data!$D$2:$D$87,"2018",Data!$A$2:$A$87,"NA",Data!$N$2:$N$87,"Low")</f>
        <v>4</v>
      </c>
      <c r="AB6" s="14">
        <f>countifs(Data!$D$2:$D$87,"2018",Data!$A$2:$A$87,"NA",Data!$N$2:$N$87,"Very Low")</f>
        <v>0</v>
      </c>
      <c r="AC6" s="14">
        <f>countifs(Data!$D$2:$D$87,"2018",Data!$A$2:$A$87,"NA",Data!$N$2:$N$87,"None")</f>
        <v>0</v>
      </c>
    </row>
    <row r="7">
      <c r="A7" s="1">
        <v>2024.0</v>
      </c>
      <c r="B7" s="14">
        <v>5.0</v>
      </c>
      <c r="C7" s="14">
        <f>countifs(Data!$D$2:$D$87,"2018")</f>
        <v>12</v>
      </c>
      <c r="D7" s="14">
        <f>countifs(Data!$D$2:$D$87,"2024",Data!$A$2:$A$87,"NA",Data!$J$2:$J$87,"Very High")</f>
        <v>0</v>
      </c>
      <c r="E7" s="14">
        <f>countifs(Data!$D$2:$D$87,"2024",Data!$A$2:$A$87,"NA",Data!$J$2:$J$87,"High")</f>
        <v>2</v>
      </c>
      <c r="F7" s="15">
        <f t="shared" si="1"/>
        <v>2</v>
      </c>
      <c r="G7" s="15">
        <f>countifs(Data!$D$2:$D$87,"2024",Data!$A$2:$A$87,"NA",Data!$J$2:$J$87,"Medium")</f>
        <v>0</v>
      </c>
      <c r="H7" s="15">
        <f t="shared" si="6"/>
        <v>3</v>
      </c>
      <c r="I7" s="14">
        <f>countifs(Data!$D$2:$D$87,"2024",Data!$A$2:$A$87,"NA",Data!$J$2:$J$87,"Low")</f>
        <v>0</v>
      </c>
      <c r="J7" s="14">
        <f>countifs(Data!$D$2:$D$87,"2024",Data!$A$2:$A$87,"NA",Data!$J$2:$J$87,"Very Low")</f>
        <v>3</v>
      </c>
      <c r="K7" s="14">
        <f>countifs(Data!$D$2:$D$87,"2024",Data!$A$2:$A$87,"NA",Data!$J$2:$J$87,"None")</f>
        <v>0</v>
      </c>
      <c r="M7" s="14">
        <f>countifs(Data!$D$2:$D$87,"2024",Data!$A$2:$A$87,"NA",Data!$L$2:$L$87,"Very High")</f>
        <v>0</v>
      </c>
      <c r="N7" s="14">
        <f>countifs(Data!$D$2:$D$87,"2024",Data!$A$2:$A$87,"NA",Data!$L$2:$L$87,"High")</f>
        <v>0</v>
      </c>
      <c r="O7" s="15">
        <f t="shared" si="2"/>
        <v>0</v>
      </c>
      <c r="P7" s="15">
        <f>countifs(Data!$D$2:$D$87,"2024",Data!$A$2:$A$87,"NA",Data!$L$2:$L$87,"Medium")</f>
        <v>0</v>
      </c>
      <c r="Q7" s="15">
        <f t="shared" si="3"/>
        <v>5</v>
      </c>
      <c r="R7" s="14">
        <f>countifs(Data!$D$2:$D$87,"2024",Data!$A$2:$A$87,"NA",Data!$L$2:$L$87,"Low")</f>
        <v>0</v>
      </c>
      <c r="S7" s="14">
        <f>countifs(Data!$D$2:$D$87,"2024",Data!$A$2:$A$87,"NA",Data!$L$2:$L$87,"Very Low")</f>
        <v>0</v>
      </c>
      <c r="T7" s="14">
        <f>countifs(Data!$D$2:$D$87,"2024",Data!$A$2:$A$87,"NA",Data!$L$2:$L$87,"None")</f>
        <v>5</v>
      </c>
      <c r="V7" s="14">
        <f>countifs(Data!$D$2:$D$87,"2024",Data!$A$2:$A$87,"NA",Data!$N$2:$N$87,"Very High")</f>
        <v>0</v>
      </c>
      <c r="W7" s="14">
        <f>countifs(Data!$D$2:$D$87,"2024",Data!$A$2:$A$87,"NA",Data!$N$2:$N$87,"High")</f>
        <v>0</v>
      </c>
      <c r="X7" s="15">
        <f t="shared" si="4"/>
        <v>0</v>
      </c>
      <c r="Y7" s="15">
        <f>countifs(Data!$D$2:$D$87,"2024",Data!$A$2:$A$87,"NA",Data!$N$2:$N$87,"Medium")</f>
        <v>4</v>
      </c>
      <c r="Z7" s="15">
        <f t="shared" si="5"/>
        <v>1</v>
      </c>
      <c r="AA7" s="14">
        <f>countifs(Data!$D$2:$D$87,"2024",Data!$A$2:$A$87,"NA",Data!$N$2:$N$87,"Low")</f>
        <v>1</v>
      </c>
      <c r="AB7" s="14">
        <f>countifs(Data!$D$2:$D$87,"2024",Data!$A$2:$A$87,"NA",Data!$N$2:$N$87,"Very Low")</f>
        <v>0</v>
      </c>
      <c r="AC7" s="14">
        <f>countifs(Data!$D$2:$D$87,"2024",Data!$A$2:$A$87,"NA",Data!$N$2:$N$87,"None")</f>
        <v>0</v>
      </c>
    </row>
    <row r="8">
      <c r="A8" s="1"/>
      <c r="F8" s="15"/>
      <c r="G8" s="15"/>
      <c r="H8" s="15"/>
      <c r="O8" s="15"/>
      <c r="P8" s="15"/>
      <c r="Q8" s="15"/>
      <c r="X8" s="15"/>
      <c r="Y8" s="15"/>
      <c r="Z8" s="15"/>
    </row>
    <row r="9">
      <c r="B9" s="1" t="s">
        <v>7</v>
      </c>
      <c r="F9" s="52"/>
      <c r="G9" s="54" t="s">
        <v>7</v>
      </c>
      <c r="H9" s="54"/>
      <c r="N9" s="55"/>
      <c r="O9" s="56"/>
      <c r="P9" s="56" t="s">
        <v>7</v>
      </c>
      <c r="Q9" s="56"/>
      <c r="R9" s="55"/>
      <c r="X9" s="58"/>
      <c r="Y9" s="57" t="s">
        <v>7</v>
      </c>
      <c r="Z9" s="57"/>
    </row>
    <row r="10">
      <c r="A10" s="1">
        <v>2019.0</v>
      </c>
      <c r="B10" s="14">
        <v>16.0</v>
      </c>
      <c r="C10" s="14">
        <f>countifs(Data!$D$2:$D$87,"2019",Data!$A$2:$A$87,"KP")</f>
        <v>16</v>
      </c>
      <c r="D10" s="14">
        <f>countifs(Data!$D$2:$D$87,"2019",Data!$A$2:$A$87,"KP",Data!$J$2:$J$87,"Very High")</f>
        <v>2</v>
      </c>
      <c r="E10" s="14">
        <f>countifs(Data!$D$2:$D$87,"2019",Data!$A$2:$A$87,"KP",Data!$J$2:$J$87,"High")</f>
        <v>2</v>
      </c>
      <c r="F10" s="15">
        <f t="shared" ref="F10:F11" si="7">SUM(D10:E10)</f>
        <v>4</v>
      </c>
      <c r="G10" s="15">
        <f>countifs(Data!$D$2:$D$87,"2019",Data!$A$2:$A$87,"KP",Data!$J$2:$J$87,"Medium")</f>
        <v>0</v>
      </c>
      <c r="H10" s="15">
        <f t="shared" ref="H10:H11" si="8">SUM(I10:J10)</f>
        <v>12</v>
      </c>
      <c r="I10" s="14">
        <f>countifs(Data!$D$2:$D$87,"2019",Data!$A$2:$A$87,"KP",Data!$J$2:$J$87,"Low")</f>
        <v>5</v>
      </c>
      <c r="J10" s="14">
        <f>countifs(Data!$D$2:$D$87,"2019",Data!$A$2:$A$87,"KP",Data!$J$2:$J$87,"Very Low")</f>
        <v>7</v>
      </c>
      <c r="K10" s="14">
        <f>countifs(Data!$D$2:$D$87,"2019",Data!$A$2:$A$87,"KP",Data!$J$2:$J$87,"None")</f>
        <v>0</v>
      </c>
      <c r="M10" s="14">
        <f>countifs(Data!$D$2:$D$87,"2019",Data!$A$2:$A$87,"KP",Data!$L$2:$L$87,"Very High")</f>
        <v>2</v>
      </c>
      <c r="N10" s="14">
        <f>countifs(Data!$D$2:$D$87,"2019",Data!$A$2:$A$87,"KP",Data!$L$2:$L$87,"High")</f>
        <v>4</v>
      </c>
      <c r="O10" s="15">
        <f t="shared" ref="O10:O11" si="9">SUM(M10:N10)</f>
        <v>6</v>
      </c>
      <c r="P10" s="15">
        <f>countifs(Data!$D$2:$D$87,"2019",Data!$A$2:$A$87,"KP",Data!$L$2:$L$87,"Medium")</f>
        <v>2</v>
      </c>
      <c r="Q10" s="15">
        <f t="shared" ref="Q10:Q11" si="10">SUM(R10:T10)</f>
        <v>8</v>
      </c>
      <c r="R10" s="14">
        <f>countifs(Data!$D$2:$D$87,"2019",Data!$A$2:$A$87,"KP",Data!$L$2:$L$87,"Low")</f>
        <v>3</v>
      </c>
      <c r="S10" s="14">
        <f>countifs(Data!$D$2:$D$87,"2019",Data!$A$2:$A$87,"KP",Data!$L$2:$L$87,"Very Low")</f>
        <v>0</v>
      </c>
      <c r="T10" s="14">
        <f>countifs(Data!$D$2:$D$87,"2019",Data!$A$2:$A$87,"KP",Data!$L$2:$L$87,"None")</f>
        <v>5</v>
      </c>
      <c r="V10" s="14">
        <f>countifs(Data!$D$2:$D$87,"2019",Data!$A$2:$A$87,"KP",Data!$N$2:$N$87,"Very High")</f>
        <v>2</v>
      </c>
      <c r="W10" s="14">
        <f>countifs(Data!$D$2:$D$87,"2019",Data!$A$2:$A$87,"KP",Data!$N$2:$N$87,"High")</f>
        <v>9</v>
      </c>
      <c r="X10" s="15">
        <f t="shared" ref="X10:X11" si="11">SUM(V10:W10)</f>
        <v>11</v>
      </c>
      <c r="Y10" s="15">
        <f>countifs(Data!$D$2:$D$87,"2019",Data!$A$2:$A$87,"KP",Data!$N$2:$N$87,"Medium")</f>
        <v>2</v>
      </c>
      <c r="Z10" s="15">
        <f t="shared" ref="Z10:Z11" si="12">SUM(AA10:AC10)</f>
        <v>3</v>
      </c>
      <c r="AA10" s="14">
        <f>countifs(Data!$D$2:$D$87,"2019",Data!$A$2:$A$87,"KP",Data!$N$2:$N$87,"Low")</f>
        <v>3</v>
      </c>
      <c r="AB10" s="14">
        <f>countifs(Data!$D$2:$D$87,"2019",Data!$A$2:$A$87,"KP",Data!$N$2:$N$87,"Very Low")</f>
        <v>0</v>
      </c>
      <c r="AC10" s="14">
        <f>countifs(Data!$D$2:$D$87,"2019",Data!$A$2:$A$87,"KP",Data!$N$2:$N$87,"None")</f>
        <v>0</v>
      </c>
    </row>
    <row r="11">
      <c r="A11" s="1">
        <v>2024.0</v>
      </c>
      <c r="B11" s="14">
        <v>15.0</v>
      </c>
      <c r="D11" s="14">
        <f>countifs(Data!$D$2:$D$87,"2024",Data!$A$2:$A$87,"KP",Data!$J$2:$J$87,"Very High")</f>
        <v>1</v>
      </c>
      <c r="E11" s="14">
        <f>countifs(Data!$D$2:$D$87,"2024",Data!$A$2:$A$87,"KP",Data!$J$2:$J$87,"High")</f>
        <v>2</v>
      </c>
      <c r="F11" s="15">
        <f t="shared" si="7"/>
        <v>3</v>
      </c>
      <c r="G11" s="15">
        <f>countifs(Data!$D$2:$D$87,"2024",Data!$A$2:$A$87,"KP",Data!$J$2:$J$87,"Medium")</f>
        <v>1</v>
      </c>
      <c r="H11" s="15">
        <f t="shared" si="8"/>
        <v>11</v>
      </c>
      <c r="I11" s="14">
        <f>countifs(Data!$D$2:$D$87,"2024",Data!$A$2:$A$87,"KP",Data!$J$2:$J$87,"Low")</f>
        <v>3</v>
      </c>
      <c r="J11" s="14">
        <f>countifs(Data!$D$2:$D$87,"2024",Data!$A$2:$A$87,"KP",Data!$J$2:$J$87,"Very Low")</f>
        <v>8</v>
      </c>
      <c r="K11" s="14">
        <f>countifs(Data!$D$2:$D$87,"2024",Data!$A$2:$A$87,"KP",Data!$J$2:$J$87,"None")</f>
        <v>0</v>
      </c>
      <c r="M11" s="14">
        <f>countifs(Data!$D$2:$D$87,"2024",Data!$A$2:$A$87,"KP",Data!$L$2:$L$87,"Very High")</f>
        <v>0</v>
      </c>
      <c r="N11" s="14">
        <f>countifs(Data!$D$2:$D$87,"2024",Data!$A$2:$A$87,"KP",Data!$L$2:$L$87,"High")</f>
        <v>0</v>
      </c>
      <c r="O11" s="15">
        <f t="shared" si="9"/>
        <v>0</v>
      </c>
      <c r="P11" s="15">
        <f>countifs(Data!$D$2:$D$87,"2024",Data!$A$2:$A$87,"KP",Data!$L$2:$L$87,"Medium")</f>
        <v>1</v>
      </c>
      <c r="Q11" s="15">
        <f t="shared" si="10"/>
        <v>14</v>
      </c>
      <c r="R11" s="14">
        <f>countifs(Data!$D$2:$D$87,"2024",Data!$A$2:$A$87,"KP",Data!$L$2:$L$87,"Low")</f>
        <v>1</v>
      </c>
      <c r="S11" s="14">
        <f>countifs(Data!$D$2:$D$87,"2024",Data!$A$2:$A$87,"KP",Data!$L$2:$L$87,"Very Low")</f>
        <v>0</v>
      </c>
      <c r="T11" s="14">
        <f>countifs(Data!$D$2:$D$87,"2024",Data!$A$2:$A$87,"KP",Data!$L$2:$L$87,"None")</f>
        <v>13</v>
      </c>
      <c r="V11" s="14">
        <f>countifs(Data!$D$2:$D$87,"2024",Data!$A$2:$A$87,"KP",Data!$N$2:$N$87,"Very High")</f>
        <v>0</v>
      </c>
      <c r="W11" s="14">
        <f>countifs(Data!$D$2:$D$87,"2024",Data!$A$2:$A$87,"KP",Data!$N$2:$N$87,"High")</f>
        <v>9</v>
      </c>
      <c r="X11" s="15">
        <f t="shared" si="11"/>
        <v>9</v>
      </c>
      <c r="Y11" s="15">
        <f>countifs(Data!$D$2:$D$87,"2024",Data!$A$2:$A$87,"KP",Data!$N$2:$N$87,"Medium")</f>
        <v>5</v>
      </c>
      <c r="Z11" s="15">
        <f t="shared" si="12"/>
        <v>1</v>
      </c>
      <c r="AA11" s="14">
        <f>countifs(Data!$D$2:$D$87,"2024",Data!$A$2:$A$87,"KP",Data!$N$2:$N$87,"Low")</f>
        <v>1</v>
      </c>
      <c r="AB11" s="14">
        <f>countifs(Data!$D$2:$D$87,"2024",Data!$A$2:$A$87,"KP",Data!$N$2:$N$87,"Very Low")</f>
        <v>0</v>
      </c>
      <c r="AC11" s="14">
        <f>countifs(Data!$D$2:$D$87,"2024",Data!$A$2:$A$87,"KP",Data!$N$2:$N$87,"None")</f>
        <v>0</v>
      </c>
    </row>
    <row r="14">
      <c r="A14" s="1" t="s">
        <v>4</v>
      </c>
      <c r="B14" s="1"/>
      <c r="E14" s="1" t="s">
        <v>4</v>
      </c>
      <c r="F14" s="11" t="s">
        <v>9</v>
      </c>
      <c r="G14" s="11" t="s">
        <v>11</v>
      </c>
      <c r="H14" s="11" t="s">
        <v>13</v>
      </c>
      <c r="N14" s="1" t="s">
        <v>4</v>
      </c>
      <c r="O14" s="11" t="s">
        <v>9</v>
      </c>
      <c r="P14" s="11" t="s">
        <v>11</v>
      </c>
      <c r="Q14" s="11" t="s">
        <v>13</v>
      </c>
      <c r="W14" s="1" t="s">
        <v>4</v>
      </c>
      <c r="X14" s="11" t="s">
        <v>9</v>
      </c>
      <c r="Y14" s="11" t="s">
        <v>11</v>
      </c>
      <c r="Z14" s="11" t="s">
        <v>13</v>
      </c>
    </row>
    <row r="15">
      <c r="A15" s="1" t="s">
        <v>192</v>
      </c>
      <c r="B15" s="1"/>
      <c r="E15" s="1" t="s">
        <v>192</v>
      </c>
      <c r="F15" s="49">
        <f>F3/$B$3</f>
        <v>0.9166666667</v>
      </c>
      <c r="G15" s="49"/>
      <c r="H15" s="49">
        <f>H3/$B$3</f>
        <v>0.08333333333</v>
      </c>
      <c r="J15" s="50">
        <f t="shared" ref="J15:J21" si="15">sum(F15:H15)</f>
        <v>1</v>
      </c>
      <c r="N15" s="1" t="s">
        <v>192</v>
      </c>
      <c r="O15" s="49"/>
      <c r="P15" s="49">
        <f t="shared" ref="P15:Q15" si="13">P3/$B$3</f>
        <v>0.08333333333</v>
      </c>
      <c r="Q15" s="49">
        <f t="shared" si="13"/>
        <v>0.9166666667</v>
      </c>
      <c r="S15" s="50">
        <f t="shared" ref="S15:S21" si="17">sum(O15:Q15)</f>
        <v>1</v>
      </c>
      <c r="W15" s="1" t="s">
        <v>192</v>
      </c>
      <c r="X15" s="49">
        <f>X3/$B$3</f>
        <v>0.5</v>
      </c>
      <c r="Y15" s="49"/>
      <c r="Z15" s="49">
        <f>Z3/$B$3</f>
        <v>0.5</v>
      </c>
      <c r="AB15" s="50">
        <f t="shared" ref="AB15:AB21" si="19">sum(X15:Z15)</f>
        <v>1</v>
      </c>
    </row>
    <row r="16">
      <c r="A16" s="1" t="s">
        <v>193</v>
      </c>
      <c r="B16" s="1"/>
      <c r="E16" s="1" t="s">
        <v>193</v>
      </c>
      <c r="F16" s="49">
        <f t="shared" ref="F16:H16" si="14">F4/$B$4</f>
        <v>0.4545454545</v>
      </c>
      <c r="G16" s="49">
        <f t="shared" si="14"/>
        <v>0.09090909091</v>
      </c>
      <c r="H16" s="49">
        <f t="shared" si="14"/>
        <v>0.4545454545</v>
      </c>
      <c r="J16" s="50">
        <f t="shared" si="15"/>
        <v>1</v>
      </c>
      <c r="N16" s="1" t="s">
        <v>193</v>
      </c>
      <c r="O16" s="49">
        <f t="shared" ref="O16:Q16" si="16">O4/$B$4</f>
        <v>0.09090909091</v>
      </c>
      <c r="P16" s="49">
        <f t="shared" si="16"/>
        <v>0.2727272727</v>
      </c>
      <c r="Q16" s="49">
        <f t="shared" si="16"/>
        <v>0.6363636364</v>
      </c>
      <c r="S16" s="50">
        <f t="shared" si="17"/>
        <v>1</v>
      </c>
      <c r="W16" s="1" t="s">
        <v>193</v>
      </c>
      <c r="X16" s="49">
        <f t="shared" ref="X16:Y16" si="18">X4/$B$4</f>
        <v>0.9090909091</v>
      </c>
      <c r="Y16" s="49">
        <f t="shared" si="18"/>
        <v>0.09090909091</v>
      </c>
      <c r="Z16" s="49"/>
      <c r="AB16" s="50">
        <f t="shared" si="19"/>
        <v>1</v>
      </c>
    </row>
    <row r="17">
      <c r="A17" s="1" t="s">
        <v>194</v>
      </c>
      <c r="B17" s="1"/>
      <c r="E17" s="1" t="s">
        <v>194</v>
      </c>
      <c r="F17" s="49">
        <f>F5/$B$5</f>
        <v>0.1818181818</v>
      </c>
      <c r="G17" s="49"/>
      <c r="H17" s="49">
        <f>H5/$B$5</f>
        <v>0.8181818182</v>
      </c>
      <c r="J17" s="50">
        <f t="shared" si="15"/>
        <v>1</v>
      </c>
      <c r="N17" s="1" t="s">
        <v>194</v>
      </c>
      <c r="O17" s="49">
        <f>O5/$B$5</f>
        <v>0.2727272727</v>
      </c>
      <c r="P17" s="49"/>
      <c r="Q17" s="49">
        <f>Q5/$B$5</f>
        <v>0.7272727273</v>
      </c>
      <c r="S17" s="50">
        <f t="shared" si="17"/>
        <v>1</v>
      </c>
      <c r="W17" s="1" t="s">
        <v>194</v>
      </c>
      <c r="X17" s="49">
        <f t="shared" ref="X17:Z17" si="20">X5/$B$5</f>
        <v>0.8181818182</v>
      </c>
      <c r="Y17" s="49">
        <f t="shared" si="20"/>
        <v>0.09090909091</v>
      </c>
      <c r="Z17" s="49">
        <f t="shared" si="20"/>
        <v>0.09090909091</v>
      </c>
      <c r="AB17" s="50">
        <f t="shared" si="19"/>
        <v>1</v>
      </c>
    </row>
    <row r="18">
      <c r="A18" s="1" t="s">
        <v>195</v>
      </c>
      <c r="B18" s="1"/>
      <c r="E18" s="1" t="s">
        <v>195</v>
      </c>
      <c r="F18" s="49">
        <f>F6/$B$6</f>
        <v>0.5</v>
      </c>
      <c r="G18" s="49"/>
      <c r="H18" s="49">
        <f>H6/$B$6</f>
        <v>0.5</v>
      </c>
      <c r="J18" s="50">
        <f t="shared" si="15"/>
        <v>1</v>
      </c>
      <c r="N18" s="1" t="s">
        <v>195</v>
      </c>
      <c r="O18" s="49"/>
      <c r="P18" s="49">
        <f t="shared" ref="P18:Q18" si="21">P6/$B$6</f>
        <v>0.25</v>
      </c>
      <c r="Q18" s="49">
        <f t="shared" si="21"/>
        <v>0.75</v>
      </c>
      <c r="S18" s="50">
        <f t="shared" si="17"/>
        <v>1</v>
      </c>
      <c r="W18" s="1" t="s">
        <v>195</v>
      </c>
      <c r="X18" s="49">
        <f t="shared" ref="X18:Z18" si="22">X6/$B$6</f>
        <v>0.1666666667</v>
      </c>
      <c r="Y18" s="49">
        <f t="shared" si="22"/>
        <v>0.5</v>
      </c>
      <c r="Z18" s="49">
        <f t="shared" si="22"/>
        <v>0.3333333333</v>
      </c>
      <c r="AB18" s="50">
        <f t="shared" si="19"/>
        <v>1</v>
      </c>
    </row>
    <row r="19">
      <c r="A19" s="1" t="s">
        <v>196</v>
      </c>
      <c r="B19" s="1"/>
      <c r="E19" s="1" t="s">
        <v>196</v>
      </c>
      <c r="F19" s="49">
        <f>F10/$B$10</f>
        <v>0.25</v>
      </c>
      <c r="G19" s="49"/>
      <c r="H19" s="49">
        <f>H10/$B$10</f>
        <v>0.75</v>
      </c>
      <c r="J19" s="50">
        <f t="shared" si="15"/>
        <v>1</v>
      </c>
      <c r="N19" s="1" t="s">
        <v>196</v>
      </c>
      <c r="O19" s="49">
        <f t="shared" ref="O19:Q19" si="23">O10/$B$10</f>
        <v>0.375</v>
      </c>
      <c r="P19" s="49">
        <f t="shared" si="23"/>
        <v>0.125</v>
      </c>
      <c r="Q19" s="49">
        <f t="shared" si="23"/>
        <v>0.5</v>
      </c>
      <c r="S19" s="50">
        <f t="shared" si="17"/>
        <v>1</v>
      </c>
      <c r="W19" s="1" t="s">
        <v>196</v>
      </c>
      <c r="X19" s="49">
        <f t="shared" ref="X19:Z19" si="24">X10/$B$10</f>
        <v>0.6875</v>
      </c>
      <c r="Y19" s="49">
        <f t="shared" si="24"/>
        <v>0.125</v>
      </c>
      <c r="Z19" s="49">
        <f t="shared" si="24"/>
        <v>0.1875</v>
      </c>
      <c r="AB19" s="50">
        <f t="shared" si="19"/>
        <v>1</v>
      </c>
    </row>
    <row r="20">
      <c r="A20" s="1" t="s">
        <v>197</v>
      </c>
      <c r="B20" s="1"/>
      <c r="E20" s="1" t="s">
        <v>197</v>
      </c>
      <c r="F20" s="49">
        <f>F7/$B$7</f>
        <v>0.4</v>
      </c>
      <c r="G20" s="49"/>
      <c r="H20" s="49">
        <f>H7/$B$7</f>
        <v>0.6</v>
      </c>
      <c r="J20" s="50">
        <f t="shared" si="15"/>
        <v>1</v>
      </c>
      <c r="N20" s="1" t="s">
        <v>197</v>
      </c>
      <c r="O20" s="49"/>
      <c r="P20" s="49"/>
      <c r="Q20" s="49">
        <f>Q7/$B$7</f>
        <v>1</v>
      </c>
      <c r="S20" s="50">
        <f t="shared" si="17"/>
        <v>1</v>
      </c>
      <c r="W20" s="1" t="s">
        <v>197</v>
      </c>
      <c r="X20" s="49"/>
      <c r="Y20" s="49">
        <f t="shared" ref="Y20:Z20" si="25">Y7/$B$7</f>
        <v>0.8</v>
      </c>
      <c r="Z20" s="49">
        <f t="shared" si="25"/>
        <v>0.2</v>
      </c>
      <c r="AB20" s="50">
        <f t="shared" si="19"/>
        <v>1</v>
      </c>
    </row>
    <row r="21">
      <c r="A21" s="1" t="s">
        <v>198</v>
      </c>
      <c r="B21" s="1"/>
      <c r="E21" s="1" t="s">
        <v>198</v>
      </c>
      <c r="F21" s="49">
        <f t="shared" ref="F21:H21" si="26">F11/$B$11</f>
        <v>0.2</v>
      </c>
      <c r="G21" s="49">
        <f t="shared" si="26"/>
        <v>0.06666666667</v>
      </c>
      <c r="H21" s="49">
        <f t="shared" si="26"/>
        <v>0.7333333333</v>
      </c>
      <c r="J21" s="50">
        <f t="shared" si="15"/>
        <v>1</v>
      </c>
      <c r="N21" s="1" t="s">
        <v>198</v>
      </c>
      <c r="O21" s="49"/>
      <c r="P21" s="49">
        <f t="shared" ref="P21:Q21" si="27">P11/$B$11</f>
        <v>0.06666666667</v>
      </c>
      <c r="Q21" s="49">
        <f t="shared" si="27"/>
        <v>0.9333333333</v>
      </c>
      <c r="S21" s="50">
        <f t="shared" si="17"/>
        <v>1</v>
      </c>
      <c r="W21" s="1" t="s">
        <v>198</v>
      </c>
      <c r="X21" s="49">
        <f t="shared" ref="X21:Z21" si="28">X11/$B$11</f>
        <v>0.6</v>
      </c>
      <c r="Y21" s="49">
        <f t="shared" si="28"/>
        <v>0.3333333333</v>
      </c>
      <c r="Z21" s="49">
        <f t="shared" si="28"/>
        <v>0.06666666667</v>
      </c>
      <c r="AB21" s="50">
        <f t="shared" si="19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57"/>
    <col customWidth="1" min="2" max="2" width="5.14"/>
    <col hidden="1" min="3" max="3" width="14.43"/>
    <col customWidth="1" min="4" max="4" width="10.0"/>
    <col customWidth="1" min="5" max="5" width="9.43"/>
    <col customWidth="1" min="6" max="7" width="9.71"/>
    <col customWidth="1" min="8" max="9" width="7.71"/>
    <col customWidth="1" min="10" max="10" width="9.57"/>
    <col customWidth="1" min="11" max="11" width="9.0"/>
    <col customWidth="1" min="13" max="13" width="9.71"/>
    <col customWidth="1" min="14" max="14" width="5.71"/>
    <col customWidth="1" min="15" max="15" width="6.29"/>
    <col customWidth="1" min="16" max="16" width="8.43"/>
    <col customWidth="1" min="17" max="17" width="6.29"/>
    <col customWidth="1" min="18" max="18" width="5.57"/>
    <col customWidth="1" min="19" max="19" width="9.86"/>
    <col customWidth="1" min="20" max="20" width="6.71"/>
    <col customWidth="1" min="21" max="21" width="8.57"/>
    <col customWidth="1" min="22" max="22" width="9.71"/>
    <col customWidth="1" min="23" max="23" width="7.29"/>
    <col customWidth="1" min="24" max="24" width="11.29"/>
    <col customWidth="1" min="25" max="25" width="9.86"/>
    <col customWidth="1" min="26" max="26" width="11.29"/>
    <col customWidth="1" min="27" max="27" width="9.14"/>
    <col customWidth="1" min="28" max="28" width="9.86"/>
    <col customWidth="1" min="29" max="29" width="8.57"/>
    <col customWidth="1" min="30" max="30" width="9.0"/>
  </cols>
  <sheetData>
    <row r="1">
      <c r="C1" s="1"/>
      <c r="D1" s="59"/>
      <c r="E1" s="60"/>
      <c r="F1" s="59" t="s">
        <v>20</v>
      </c>
      <c r="G1" s="61"/>
      <c r="H1" s="61"/>
      <c r="I1" s="61"/>
      <c r="J1" s="61"/>
      <c r="K1" s="61"/>
      <c r="M1" s="61"/>
      <c r="N1" s="59"/>
      <c r="O1" s="59" t="s">
        <v>202</v>
      </c>
      <c r="P1" s="61"/>
      <c r="Q1" s="61"/>
      <c r="R1" s="61"/>
      <c r="S1" s="61"/>
      <c r="T1" s="61"/>
      <c r="V1" s="50"/>
      <c r="W1" s="50"/>
      <c r="AC1" s="1" t="s">
        <v>203</v>
      </c>
      <c r="AD1" s="50"/>
    </row>
    <row r="2">
      <c r="A2" s="1" t="s">
        <v>4</v>
      </c>
      <c r="B2" s="1" t="s">
        <v>6</v>
      </c>
      <c r="C2" s="1" t="s">
        <v>5</v>
      </c>
      <c r="D2" s="1" t="s">
        <v>8</v>
      </c>
      <c r="E2" s="1" t="s">
        <v>9</v>
      </c>
      <c r="F2" s="11" t="s">
        <v>10</v>
      </c>
      <c r="G2" s="11" t="s">
        <v>11</v>
      </c>
      <c r="H2" s="11" t="s">
        <v>12</v>
      </c>
      <c r="I2" s="1" t="s">
        <v>13</v>
      </c>
      <c r="J2" s="1" t="s">
        <v>14</v>
      </c>
      <c r="K2" s="1" t="s">
        <v>15</v>
      </c>
      <c r="N2" s="12"/>
      <c r="O2" s="11" t="s">
        <v>41</v>
      </c>
      <c r="P2" s="11" t="s">
        <v>38</v>
      </c>
      <c r="Q2" s="11" t="s">
        <v>53</v>
      </c>
      <c r="R2" s="11" t="s">
        <v>76</v>
      </c>
      <c r="S2" s="11" t="s">
        <v>204</v>
      </c>
      <c r="V2" s="50"/>
      <c r="W2" s="50"/>
      <c r="X2" s="50"/>
      <c r="AA2" s="11" t="s">
        <v>41</v>
      </c>
      <c r="AB2" s="62" t="s">
        <v>93</v>
      </c>
      <c r="AC2" s="62" t="s">
        <v>90</v>
      </c>
      <c r="AD2" s="11" t="s">
        <v>72</v>
      </c>
      <c r="AE2" s="30" t="s">
        <v>96</v>
      </c>
      <c r="AF2" s="41" t="s">
        <v>159</v>
      </c>
      <c r="AG2" s="25" t="s">
        <v>140</v>
      </c>
      <c r="AH2" s="41" t="s">
        <v>185</v>
      </c>
      <c r="AI2" s="25"/>
    </row>
    <row r="3">
      <c r="A3" s="1">
        <v>2002.0</v>
      </c>
      <c r="B3" s="14">
        <v>12.0</v>
      </c>
      <c r="C3" s="14">
        <f>countifs(Data!$D$2:$D$87,"2002")</f>
        <v>12</v>
      </c>
      <c r="D3" s="14">
        <f>countifs(Data!$D$2:$D$87,"2002",Data!$A$2:$A$87,"NA",Data!$J$2:$J$87,"Very High")</f>
        <v>11</v>
      </c>
      <c r="E3" s="14">
        <f>countifs(Data!$D2:$D87,"2002",Data!$A2:$A87,"NA",Data!$J2:$J87,"High")</f>
        <v>0</v>
      </c>
      <c r="F3" s="15">
        <f t="shared" ref="F3:F7" si="1">SUM(D3:E3)</f>
        <v>11</v>
      </c>
      <c r="G3" s="15">
        <f>countifs(Data!$D2:$D87,"2002",Data!$A2:$A87,"NA",Data!$J2:$J87,"Medium")</f>
        <v>0</v>
      </c>
      <c r="H3" s="15">
        <f>SUM(I3:K3)</f>
        <v>1</v>
      </c>
      <c r="I3" s="14">
        <f>countifs(Data!$D2:$D87,"2002",Data!$A2:$A87,"NA",Data!$J2:$J87,"Low")</f>
        <v>0</v>
      </c>
      <c r="J3" s="14">
        <f>countifs(Data!$D2:$D87,"2002",Data!$A2:$A87,"NA",Data!$J2:$J87,"Very Low")</f>
        <v>1</v>
      </c>
      <c r="K3" s="14">
        <f>countifs(Data!$D2:$D87,"2002",Data!$A2:$A87,"NA",Data!$J2:$J87,"None")</f>
        <v>0</v>
      </c>
      <c r="O3" s="17">
        <f>countifs(Data!$D2:$D87,"2002",Data!$A2:$A87,"NA",Data!$K$2:$K$87,"JI")</f>
        <v>1</v>
      </c>
      <c r="P3" s="17">
        <f>countifs(Data!$D2:$D87,"2002",Data!$A2:$A87,"NA",Data!$K$2:$K$87,"JUIF")</f>
        <v>9</v>
      </c>
      <c r="Q3" s="17">
        <f>countifs(Data!$D2:$D87,"2002",Data!$A2:$A87,"NA",Data!$K$2:$K$87,"Peer")</f>
        <v>1</v>
      </c>
      <c r="R3" s="17">
        <f>countifs(Data!$D2:$D87,"2002",Data!$A2:$A87,"NA",Data!$K$2:$K$87,"Shia")</f>
        <v>0</v>
      </c>
      <c r="S3" s="17">
        <f>countifs(Data!$D2:$D87,"2002",Data!$A2:$A87,"NA",Data!$K$2:$K$87,"None")</f>
        <v>1</v>
      </c>
      <c r="V3" s="50"/>
      <c r="W3" s="50"/>
      <c r="X3" s="50"/>
      <c r="AC3" s="17">
        <f>countifs(Data!$D2:$D87,"2002",Data!$A2:$A87,"NA",Data!$K$2:$K$87,"JI")</f>
        <v>1</v>
      </c>
      <c r="AD3" s="17">
        <f>countifs(Data!$D2:$D87,"2002",Data!$A2:$A87,"NA",Data!$K$2:$K$87,"JUIF")</f>
        <v>9</v>
      </c>
      <c r="AE3" s="17">
        <f>countifs(Data!$D2:$D87,"2002",Data!$A2:$A87,"NA",Data!$K$2:$K$87,"Peer")</f>
        <v>1</v>
      </c>
      <c r="AF3" s="17">
        <f>countifs(Data!$D2:$D87,"2002",Data!$A2:$A87,"NA",Data!$K$2:$K$87,"Shia")</f>
        <v>0</v>
      </c>
      <c r="AG3" s="17">
        <f>countifs(Data!$D2:$D87,"2002",Data!$A2:$A87,"NA",Data!$K$2:$K$87,"None")</f>
        <v>1</v>
      </c>
    </row>
    <row r="4">
      <c r="A4" s="1">
        <v>2008.0</v>
      </c>
      <c r="B4" s="14">
        <v>11.0</v>
      </c>
      <c r="C4" s="14">
        <f>countifs(Data!$D$2:$D$87,"2008")</f>
        <v>12</v>
      </c>
      <c r="D4" s="14">
        <f>countifs(Data!$D$2:$D$87,"2008",Data!$A$2:$A$87,"NA",Data!$J$2:$J$87,"Very High")</f>
        <v>4</v>
      </c>
      <c r="E4" s="14">
        <f>countifs(Data!$D$2:$D$87,"2008",Data!$A$2:$A$87,"NA",Data!$J$2:$J$87,"High")</f>
        <v>1</v>
      </c>
      <c r="F4" s="15">
        <f t="shared" si="1"/>
        <v>5</v>
      </c>
      <c r="G4" s="15">
        <f>countifs(Data!$D$2:$D$87,"2008",Data!$A$2:$A$87,"NA",Data!$J$2:$J$87,"Medium")</f>
        <v>1</v>
      </c>
      <c r="H4" s="15">
        <f t="shared" ref="H4:H7" si="2">SUM(I4:J4)</f>
        <v>5</v>
      </c>
      <c r="I4" s="14">
        <f>countifs(Data!$D$2:$D$87,"2008",Data!$A$2:$A$87,"NA",Data!$J$2:$J$87,"Low")</f>
        <v>1</v>
      </c>
      <c r="J4" s="14">
        <f>countifs(Data!$D$2:$D$87,"2008",Data!$A$2:$A$87,"NA",Data!$J$2:$J$87,"Very Low")</f>
        <v>4</v>
      </c>
      <c r="K4" s="14">
        <f>countifs(Data!$D$2:$D$87,"2008",Data!$A$2:$A$87,"NA",Data!$J$2:$J$87,"None")</f>
        <v>0</v>
      </c>
      <c r="O4" s="17">
        <f>countifs(Data!$D3:$D88,"2008",Data!$A3:$A88,"NA",Data!$K$2:$K$87,"JI")</f>
        <v>0</v>
      </c>
      <c r="P4" s="17">
        <f>countifs(Data!$D$2:$D$87,"2008",Data!$A$2:$A$87,"NA",Data!$K$2:$K$87,"JUIF")</f>
        <v>2</v>
      </c>
      <c r="Q4" s="17">
        <f>countifs(Data!$D3:$D88,"2008",Data!$A3:$A88,"NA",Data!$K$2:$K$87,"Peer")</f>
        <v>2</v>
      </c>
      <c r="R4" s="17">
        <f>countifs(Data!$D3:$D88,"2008",Data!$A3:$A88,"NA",Data!$K$2:$K$87,"Shia")</f>
        <v>2</v>
      </c>
      <c r="S4" s="17">
        <f>countifs(Data!$D$2:$D$87,"2008",Data!$A$2:$A$87,"NA",Data!$K$2:$K$87,"None")</f>
        <v>5</v>
      </c>
      <c r="V4" s="50"/>
      <c r="W4" s="50"/>
      <c r="X4" s="50"/>
      <c r="AC4" s="17">
        <f>countifs(Data!$D3:$D88,"2008",Data!$A3:$A88,"NA",Data!$K$2:$K$87,"JI")</f>
        <v>0</v>
      </c>
      <c r="AD4" s="17">
        <f>countifs(Data!$D$2:$D$87,"2008",Data!$A$2:$A$87,"NA",Data!$K$2:$K$87,"JUIF")</f>
        <v>2</v>
      </c>
      <c r="AE4" s="17">
        <f>countifs(Data!$D3:$D88,"2008",Data!$A3:$A88,"NA",Data!$K$2:$K$87,"Peer")</f>
        <v>2</v>
      </c>
      <c r="AF4" s="17">
        <f>countifs(Data!$D3:$D88,"2008",Data!$A3:$A88,"NA",Data!$K$2:$K$87,"Shia")</f>
        <v>2</v>
      </c>
      <c r="AG4" s="17">
        <f>countifs(Data!$D$2:$D$87,"2008",Data!$A$2:$A$87,"NA",Data!$K$2:$K$87,"None")</f>
        <v>5</v>
      </c>
    </row>
    <row r="5">
      <c r="A5" s="1">
        <v>2013.0</v>
      </c>
      <c r="B5" s="14">
        <v>11.0</v>
      </c>
      <c r="C5" s="14">
        <f>countifs(Data!$D$2:$D$87,"2013")</f>
        <v>12</v>
      </c>
      <c r="D5" s="14">
        <f>countifs(Data!$D$2:$D$87,"2013",Data!$A$2:$A$87,"NA",Data!$J$2:$J$87,"Very High")</f>
        <v>1</v>
      </c>
      <c r="E5" s="14">
        <f>countifs(Data!$D$2:$D$87,"2013",Data!$A$2:$A$87,"NA",Data!$J$2:$J$87,"High")</f>
        <v>1</v>
      </c>
      <c r="F5" s="15">
        <f t="shared" si="1"/>
        <v>2</v>
      </c>
      <c r="G5" s="15">
        <f>countifs(Data!$D$2:$D$87,"2013",Data!$A$2:$A$87,"NA",Data!$J$2:$J$87,"Medium")</f>
        <v>0</v>
      </c>
      <c r="H5" s="15">
        <f t="shared" si="2"/>
        <v>9</v>
      </c>
      <c r="I5" s="14">
        <f>countifs(Data!$D$2:$D$87,"2013",Data!$A$2:$A$87,"NA",Data!$J$2:$J$87,"Low")</f>
        <v>1</v>
      </c>
      <c r="J5" s="14">
        <f>countifs(Data!$D$2:$D$87,"2013",Data!$A$2:$A$87,"NA",Data!$J$2:$J$87,"Very Low")</f>
        <v>8</v>
      </c>
      <c r="K5" s="14">
        <f>countifs(Data!$D$2:$D$87,"2013",Data!$A$2:$A$87,"NA",Data!$J$2:$J$87,"None")</f>
        <v>0</v>
      </c>
      <c r="O5" s="17">
        <f>countifs(Data!$D4:$D89,"2013",Data!$A4:$A89,"NA",Data!$K$2:$K$87,"JI")</f>
        <v>0</v>
      </c>
      <c r="P5" s="17">
        <f>countifs(Data!$D$2:$D$87,"2013",Data!$A$2:$A$87,"NA",Data!$K$2:$K$87,"JUIF")</f>
        <v>1</v>
      </c>
      <c r="Q5" s="17">
        <f>countifs(Data!$D4:$D89,"2013",Data!$A4:$A89,"NA",Data!$K$2:$K$87,"Peer")</f>
        <v>0</v>
      </c>
      <c r="R5" s="17">
        <f>countifs(Data!$D4:$D89,"2013",Data!$A4:$A89,"NA",Data!$K$2:$K$87,"Shia")</f>
        <v>1</v>
      </c>
      <c r="S5" s="17">
        <f>countifs(Data!$D4:$D89,"2013",Data!$A4:$A89,"NA",Data!$K$2:$K$87,"None")</f>
        <v>9</v>
      </c>
      <c r="V5" s="50"/>
      <c r="W5" s="50"/>
      <c r="X5" s="50"/>
      <c r="AC5" s="17">
        <f>countifs(Data!$D4:$D89,"2013",Data!$A4:$A89,"NA",Data!$K$2:$K$87,"JI")</f>
        <v>0</v>
      </c>
      <c r="AD5" s="17">
        <f>countifs(Data!$D$2:$D$87,"2013",Data!$A$2:$A$87,"NA",Data!$K$2:$K$87,"JUIF")</f>
        <v>1</v>
      </c>
      <c r="AE5" s="17">
        <f>countifs(Data!$D4:$D89,"2013",Data!$A4:$A89,"NA",Data!$K$2:$K$87,"Peer")</f>
        <v>0</v>
      </c>
      <c r="AF5" s="17">
        <f>countifs(Data!$D4:$D89,"2013",Data!$A4:$A89,"NA",Data!$K$2:$K$87,"Shia")</f>
        <v>1</v>
      </c>
      <c r="AG5" s="17">
        <f>countifs(Data!$D4:$D89,"2013",Data!$A4:$A89,"NA",Data!$K$2:$K$87,"None")</f>
        <v>9</v>
      </c>
    </row>
    <row r="6">
      <c r="A6" s="1">
        <v>2018.0</v>
      </c>
      <c r="B6" s="1">
        <v>12.0</v>
      </c>
      <c r="C6" s="14">
        <f>countifs(Data!$D$2:$D$87,"2018")</f>
        <v>12</v>
      </c>
      <c r="D6" s="14">
        <f>countifs(Data!$D$2:$D$87,"2018",Data!$A$2:$A$87,"NA",Data!$J$2:$J$87,"Very High")</f>
        <v>5</v>
      </c>
      <c r="E6" s="14">
        <f>countifs(Data!$D$2:$D$87,"2018",Data!$A$2:$A$87,"NA",Data!$J$2:$J$87,"High")</f>
        <v>1</v>
      </c>
      <c r="F6" s="15">
        <f t="shared" si="1"/>
        <v>6</v>
      </c>
      <c r="G6" s="15">
        <f>countifs(Data!$D$2:$D$87,"2018",Data!$A$2:$A$87,"NA",Data!$J$2:$J$87,"Medium")</f>
        <v>0</v>
      </c>
      <c r="H6" s="15">
        <f t="shared" si="2"/>
        <v>6</v>
      </c>
      <c r="I6" s="14">
        <f>countifs(Data!$D$2:$D$87,"2018",Data!$A$2:$A$87,"NA",Data!$J$2:$J$87,"Low")</f>
        <v>0</v>
      </c>
      <c r="J6" s="14">
        <f>countifs(Data!$D$2:$D$87,"2018",Data!$A$2:$A$87,"NA",Data!$J$2:$J$87,"Very Low")</f>
        <v>6</v>
      </c>
      <c r="K6" s="14">
        <f>countifs(Data!$D$2:$D$87,"2018",Data!$A$2:$A$87,"NA",Data!$J$2:$J$87,"None")</f>
        <v>0</v>
      </c>
      <c r="O6" s="17">
        <f>countifs(Data!$D5:$D90,"2018",Data!$A5:$A90,"NA",Data!$K$2:$K$87,"JI")</f>
        <v>0</v>
      </c>
      <c r="P6" s="17">
        <f>countifs(Data!$D$2:$D$87,"2018",Data!$A$2:$A$87,"NA",Data!$K$2:$K$87,"JUIF")</f>
        <v>3</v>
      </c>
      <c r="Q6" s="17">
        <f>countifs(Data!$D5:$D90,"2018",Data!$A5:$A90,"NA",Data!$K$2:$K$87,"Peer")</f>
        <v>1</v>
      </c>
      <c r="R6" s="17">
        <f>countifs(Data!$D5:$D90,"2018",Data!$A5:$A90,"NA",Data!$K$2:$K$87,"Shia")</f>
        <v>2</v>
      </c>
      <c r="S6" s="17">
        <f>countifs(Data!$D5:$D90,"2018",Data!$A5:$A90,"NA",Data!$K$2:$K$87,"None")</f>
        <v>6</v>
      </c>
      <c r="AC6" s="17">
        <f>countifs(Data!$D5:$D90,"2018",Data!$A5:$A90,"NA",Data!$K$2:$K$87,"JI")</f>
        <v>0</v>
      </c>
      <c r="AD6" s="17">
        <f>countifs(Data!$D$2:$D$87,"2018",Data!$A$2:$A$87,"NA",Data!$K$2:$K$87,"JUIF")</f>
        <v>3</v>
      </c>
      <c r="AE6" s="17">
        <f>countifs(Data!$D5:$D90,"2018",Data!$A5:$A90,"NA",Data!$K$2:$K$87,"Peer")</f>
        <v>1</v>
      </c>
      <c r="AF6" s="17">
        <f>countifs(Data!$D5:$D90,"2018",Data!$A5:$A90,"NA",Data!$K$2:$K$87,"Shia")</f>
        <v>2</v>
      </c>
      <c r="AG6" s="17">
        <f>countifs(Data!$D5:$D90,"2018",Data!$A5:$A90,"NA",Data!$K$2:$K$87,"None")</f>
        <v>6</v>
      </c>
    </row>
    <row r="7">
      <c r="A7" s="1">
        <v>2024.0</v>
      </c>
      <c r="B7" s="14">
        <v>5.0</v>
      </c>
      <c r="C7" s="14">
        <f>countifs(Data!$D$2:$D$87,"2018")</f>
        <v>12</v>
      </c>
      <c r="D7" s="14">
        <f>countifs(Data!$D$2:$D$87,"2024",Data!$A$2:$A$87,"NA",Data!$J$2:$J$87,"Very High")</f>
        <v>0</v>
      </c>
      <c r="E7" s="14">
        <f>countifs(Data!$D$2:$D$87,"2024",Data!$A$2:$A$87,"NA",Data!$J$2:$J$87,"High")</f>
        <v>2</v>
      </c>
      <c r="F7" s="15">
        <f t="shared" si="1"/>
        <v>2</v>
      </c>
      <c r="G7" s="15">
        <f>countifs(Data!$D$2:$D$87,"2024",Data!$A$2:$A$87,"NA",Data!$J$2:$J$87,"Medium")</f>
        <v>0</v>
      </c>
      <c r="H7" s="15">
        <f t="shared" si="2"/>
        <v>3</v>
      </c>
      <c r="I7" s="14">
        <f>countifs(Data!$D$2:$D$87,"2024",Data!$A$2:$A$87,"NA",Data!$J$2:$J$87,"Low")</f>
        <v>0</v>
      </c>
      <c r="J7" s="14">
        <f>countifs(Data!$D$2:$D$87,"2024",Data!$A$2:$A$87,"NA",Data!$J$2:$J$87,"Very Low")</f>
        <v>3</v>
      </c>
      <c r="K7" s="14">
        <f>countifs(Data!$D$2:$D$87,"2024",Data!$A$2:$A$87,"NA",Data!$J$2:$J$87,"None")</f>
        <v>0</v>
      </c>
      <c r="O7" s="17">
        <f>countifs(Data!$D6:$D91,"2024",Data!$A6:$A91,"NA",Data!$K$2:$K$87,"JI")</f>
        <v>0</v>
      </c>
      <c r="P7" s="17">
        <f>countifs(Data!$D$2:$D$87,"2024",Data!$A$2:$A$87,"NA",Data!$K$2:$K$87,"JUIF")</f>
        <v>1</v>
      </c>
      <c r="Q7" s="17">
        <f>countifs(Data!$D6:$D91,"2024",Data!$A6:$A91,"NA",Data!$K$2:$K$87,"Peer")</f>
        <v>0</v>
      </c>
      <c r="R7" s="17">
        <f>countifs(Data!$D6:$D91,"2024",Data!$A6:$A91,"NA",Data!$K$2:$K$87,"Shia")</f>
        <v>0</v>
      </c>
      <c r="S7" s="17">
        <f>countifs(Data!$D6:$D91,"2024",Data!$A6:$A91,"NA",Data!$K$2:$K$87,"None")</f>
        <v>4</v>
      </c>
      <c r="AC7" s="17">
        <f>countifs(Data!$D6:$D91,"2024",Data!$A6:$A91,"NA",Data!$K$2:$K$87,"JI")</f>
        <v>0</v>
      </c>
      <c r="AD7" s="17">
        <f>countifs(Data!$D$2:$D$87,"2024",Data!$A$2:$A$87,"NA",Data!$K$2:$K$87,"JUIF")</f>
        <v>1</v>
      </c>
      <c r="AE7" s="17">
        <f>countifs(Data!$D6:$D91,"2024",Data!$A6:$A91,"NA",Data!$K$2:$K$87,"Peer")</f>
        <v>0</v>
      </c>
      <c r="AF7" s="17">
        <f>countifs(Data!$D6:$D91,"2024",Data!$A6:$A91,"NA",Data!$K$2:$K$87,"Shia")</f>
        <v>0</v>
      </c>
      <c r="AG7" s="17">
        <f>countifs(Data!$D6:$D91,"2024",Data!$A6:$A91,"NA",Data!$K$2:$K$87,"None")</f>
        <v>4</v>
      </c>
    </row>
    <row r="8">
      <c r="A8" s="1"/>
      <c r="F8" s="15"/>
      <c r="G8" s="15"/>
      <c r="H8" s="15"/>
      <c r="O8" s="17"/>
      <c r="P8" s="17"/>
      <c r="Q8" s="17"/>
      <c r="R8" s="17"/>
      <c r="S8" s="17"/>
      <c r="AC8" s="17"/>
      <c r="AD8" s="17"/>
      <c r="AE8" s="17"/>
      <c r="AF8" s="17"/>
      <c r="AG8" s="17"/>
    </row>
    <row r="9">
      <c r="B9" s="1" t="s">
        <v>7</v>
      </c>
      <c r="F9" s="59"/>
      <c r="G9" s="61" t="s">
        <v>7</v>
      </c>
      <c r="H9" s="61"/>
      <c r="O9" s="59"/>
      <c r="P9" s="63" t="s">
        <v>7</v>
      </c>
      <c r="Q9" s="64"/>
      <c r="R9" s="59"/>
      <c r="S9" s="59"/>
      <c r="AC9" s="59"/>
      <c r="AD9" s="63" t="s">
        <v>7</v>
      </c>
      <c r="AE9" s="64"/>
      <c r="AF9" s="59"/>
      <c r="AG9" s="59"/>
    </row>
    <row r="10">
      <c r="A10" s="1">
        <v>2019.0</v>
      </c>
      <c r="B10" s="14">
        <v>16.0</v>
      </c>
      <c r="C10" s="14">
        <f>countifs(Data!$D$2:$D$87,"2019",Data!$A$2:$A$87,"KP")</f>
        <v>16</v>
      </c>
      <c r="D10" s="14">
        <f>countifs(Data!$D$2:$D$87,"2019",Data!$A$2:$A$87,"KP",Data!$J$2:$J$87,"Very High")</f>
        <v>2</v>
      </c>
      <c r="E10" s="14">
        <f>countifs(Data!$D$2:$D$87,"2019",Data!$A$2:$A$87,"KP",Data!$J$2:$J$87,"High")</f>
        <v>2</v>
      </c>
      <c r="F10" s="15">
        <f t="shared" ref="F10:F11" si="3">SUM(D10:E10)</f>
        <v>4</v>
      </c>
      <c r="G10" s="15">
        <f>countifs(Data!$D$2:$D$87,"2019",Data!$A$2:$A$87,"KP",Data!$J$2:$J$87,"Medium")</f>
        <v>0</v>
      </c>
      <c r="H10" s="15">
        <f t="shared" ref="H10:H11" si="4">SUM(I10:J10)</f>
        <v>12</v>
      </c>
      <c r="I10" s="14">
        <f>countifs(Data!$D$2:$D$87,"2019",Data!$A$2:$A$87,"KP",Data!$J$2:$J$87,"Low")</f>
        <v>5</v>
      </c>
      <c r="J10" s="14">
        <f>countifs(Data!$D$2:$D$87,"2019",Data!$A$2:$A$87,"KP",Data!$J$2:$J$87,"Very Low")</f>
        <v>7</v>
      </c>
      <c r="K10" s="14">
        <f>countifs(Data!$D$2:$D$87,"2019",Data!$A$2:$A$87,"KP",Data!$J$2:$J$87,"None")</f>
        <v>0</v>
      </c>
      <c r="O10" s="17">
        <f>countifs(Data!$D9:$D94,"2019",Data!$A9:$A94,"KP",Data!$K$2:$K$87,"JI")</f>
        <v>1</v>
      </c>
      <c r="P10" s="17">
        <f>countifs(Data!$D$2:$D$87,"2019",Data!$A$2:$A$87,"KP",Data!$K$2:$K$87,"JUIF")</f>
        <v>2</v>
      </c>
      <c r="Q10" s="17">
        <f>countifs(Data!$D$2:$D$87,"2019",Data!$A$2:$A$87,"KP",Data!$K$2:$K$87,"Peer")</f>
        <v>1</v>
      </c>
      <c r="R10" s="17">
        <f>countifs(Data!$D$2:$D$87,"2019",Data!$A$2:$A$87,"KP",Data!$K$2:$K$87,"Shia")</f>
        <v>0</v>
      </c>
      <c r="S10" s="17">
        <f>countifs(Data!$D$2:$D$87,"2019",Data!$A$2:$A$87,"KP",Data!$K$2:$K$87,"None")</f>
        <v>12</v>
      </c>
      <c r="AC10" s="17">
        <f>countifs(Data!$D9:$D94,"2019",Data!$A9:$A94,"KP",Data!$K$2:$K$87,"JI")</f>
        <v>1</v>
      </c>
      <c r="AD10" s="17">
        <f>countifs(Data!$D$2:$D$87,"2019",Data!$A$2:$A$87,"KP",Data!$K$2:$K$87,"JUIF")</f>
        <v>2</v>
      </c>
      <c r="AE10" s="17">
        <f>countifs(Data!$D$2:$D$87,"2019",Data!$A$2:$A$87,"KP",Data!$K$2:$K$87,"Peer")</f>
        <v>1</v>
      </c>
      <c r="AF10" s="17">
        <f>countifs(Data!$D$2:$D$87,"2019",Data!$A$2:$A$87,"KP",Data!$K$2:$K$87,"Shia")</f>
        <v>0</v>
      </c>
      <c r="AG10" s="17">
        <f>countifs(Data!$D$2:$D$87,"2019",Data!$A$2:$A$87,"KP",Data!$K$2:$K$87,"None")</f>
        <v>12</v>
      </c>
    </row>
    <row r="11">
      <c r="A11" s="1">
        <v>2024.0</v>
      </c>
      <c r="B11" s="14">
        <v>15.0</v>
      </c>
      <c r="D11" s="14">
        <f>countifs(Data!$D$2:$D$87,"2024",Data!$A$2:$A$87,"KP",Data!$J$2:$J$87,"Very High")</f>
        <v>1</v>
      </c>
      <c r="E11" s="14">
        <f>countifs(Data!$D$2:$D$87,"2024",Data!$A$2:$A$87,"KP",Data!$J$2:$J$87,"High")</f>
        <v>2</v>
      </c>
      <c r="F11" s="15">
        <f t="shared" si="3"/>
        <v>3</v>
      </c>
      <c r="G11" s="15">
        <f>countifs(Data!$D$2:$D$87,"2024",Data!$A$2:$A$87,"KP",Data!$J$2:$J$87,"Medium")</f>
        <v>1</v>
      </c>
      <c r="H11" s="15">
        <f t="shared" si="4"/>
        <v>11</v>
      </c>
      <c r="I11" s="14">
        <f>countifs(Data!$D$2:$D$87,"2024",Data!$A$2:$A$87,"KP",Data!$J$2:$J$87,"Low")</f>
        <v>3</v>
      </c>
      <c r="J11" s="14">
        <f>countifs(Data!$D$2:$D$87,"2024",Data!$A$2:$A$87,"KP",Data!$J$2:$J$87,"Very Low")</f>
        <v>8</v>
      </c>
      <c r="K11" s="14">
        <f>countifs(Data!$D$2:$D$87,"2024",Data!$A$2:$A$87,"KP",Data!$J$2:$J$87,"None")</f>
        <v>0</v>
      </c>
      <c r="O11" s="17">
        <f>countifs(Data!$D10:$D95,"2024",Data!$A10:$A95,"KP",Data!$K$2:$K$87,"JI")</f>
        <v>0</v>
      </c>
      <c r="P11" s="17">
        <f>countifs(Data!$D$2:$D$87,"2024",Data!$A$2:$A$87,"KP",Data!$K$2:$K$87,"JUIF")</f>
        <v>1</v>
      </c>
      <c r="Q11" s="17">
        <f>countifs(Data!$D$2:$D$87,"2024",Data!$A$2:$A$87,"KP",Data!$K$2:$K$87,"Peer")</f>
        <v>1</v>
      </c>
      <c r="R11" s="17">
        <f>countifs(Data!$D$2:$D$87,"2024",Data!$A$2:$A$87,"KP",Data!$K$2:$K$87,"Shia")</f>
        <v>2</v>
      </c>
      <c r="S11" s="17">
        <f>countifs(Data!$D$2:$D$87,"2024",Data!$A$2:$A$87,"KP",Data!$K$2:$K$87,"None")</f>
        <v>11</v>
      </c>
      <c r="AC11" s="17">
        <f>countifs(Data!$D10:$D95,"2024",Data!$A10:$A95,"KP",Data!$K$2:$K$87,"JI")</f>
        <v>0</v>
      </c>
      <c r="AD11" s="17">
        <f>countifs(Data!$D$2:$D$87,"2024",Data!$A$2:$A$87,"KP",Data!$K$2:$K$87,"JUIF")</f>
        <v>1</v>
      </c>
      <c r="AE11" s="17">
        <f>countifs(Data!$D$2:$D$87,"2024",Data!$A$2:$A$87,"KP",Data!$K$2:$K$87,"Peer")</f>
        <v>1</v>
      </c>
      <c r="AF11" s="17">
        <f>countifs(Data!$D$2:$D$87,"2024",Data!$A$2:$A$87,"KP",Data!$K$2:$K$87,"Shia")</f>
        <v>2</v>
      </c>
      <c r="AG11" s="17">
        <f>countifs(Data!$D$2:$D$87,"2024",Data!$A$2:$A$87,"KP",Data!$K$2:$K$87,"None")</f>
        <v>11</v>
      </c>
    </row>
    <row r="14">
      <c r="A14" s="1" t="s">
        <v>4</v>
      </c>
      <c r="B14" s="1"/>
      <c r="E14" s="1" t="s">
        <v>4</v>
      </c>
      <c r="F14" s="11" t="s">
        <v>9</v>
      </c>
      <c r="G14" s="11" t="s">
        <v>11</v>
      </c>
      <c r="H14" s="11" t="s">
        <v>13</v>
      </c>
      <c r="N14" s="1" t="s">
        <v>4</v>
      </c>
      <c r="O14" s="11" t="s">
        <v>41</v>
      </c>
      <c r="P14" s="11" t="s">
        <v>38</v>
      </c>
      <c r="Q14" s="11" t="s">
        <v>53</v>
      </c>
      <c r="R14" s="11" t="s">
        <v>76</v>
      </c>
      <c r="S14" s="11" t="s">
        <v>204</v>
      </c>
    </row>
    <row r="15">
      <c r="A15" s="1" t="s">
        <v>192</v>
      </c>
      <c r="B15" s="1"/>
      <c r="E15" s="1" t="s">
        <v>192</v>
      </c>
      <c r="F15" s="49">
        <f>F3/$B$3</f>
        <v>0.9166666667</v>
      </c>
      <c r="G15" s="49"/>
      <c r="H15" s="49">
        <f>H3/$B$3</f>
        <v>0.08333333333</v>
      </c>
      <c r="J15" s="50">
        <f t="shared" ref="J15:J21" si="7">sum(F15:H15)</f>
        <v>1</v>
      </c>
      <c r="N15" s="1" t="s">
        <v>192</v>
      </c>
      <c r="O15" s="49">
        <f t="shared" ref="O15:Q15" si="5">O3/$B$3</f>
        <v>0.08333333333</v>
      </c>
      <c r="P15" s="49">
        <f t="shared" si="5"/>
        <v>0.75</v>
      </c>
      <c r="Q15" s="49">
        <f t="shared" si="5"/>
        <v>0.08333333333</v>
      </c>
      <c r="R15" s="49"/>
      <c r="S15" s="49">
        <f>S3/$B$3</f>
        <v>0.08333333333</v>
      </c>
      <c r="U15" s="50">
        <f t="shared" ref="U15:U21" si="9">sum(O15:S15)</f>
        <v>1</v>
      </c>
    </row>
    <row r="16">
      <c r="A16" s="1" t="s">
        <v>193</v>
      </c>
      <c r="B16" s="1"/>
      <c r="E16" s="1" t="s">
        <v>193</v>
      </c>
      <c r="F16" s="49">
        <f t="shared" ref="F16:H16" si="6">F4/$B$4</f>
        <v>0.4545454545</v>
      </c>
      <c r="G16" s="49">
        <f t="shared" si="6"/>
        <v>0.09090909091</v>
      </c>
      <c r="H16" s="49">
        <f t="shared" si="6"/>
        <v>0.4545454545</v>
      </c>
      <c r="J16" s="50">
        <f t="shared" si="7"/>
        <v>1</v>
      </c>
      <c r="N16" s="1" t="s">
        <v>193</v>
      </c>
      <c r="O16" s="49"/>
      <c r="P16" s="49">
        <f t="shared" ref="P16:S16" si="8">P4/$B$4</f>
        <v>0.1818181818</v>
      </c>
      <c r="Q16" s="49">
        <f t="shared" si="8"/>
        <v>0.1818181818</v>
      </c>
      <c r="R16" s="49">
        <f t="shared" si="8"/>
        <v>0.1818181818</v>
      </c>
      <c r="S16" s="49">
        <f t="shared" si="8"/>
        <v>0.4545454545</v>
      </c>
      <c r="U16" s="50">
        <f t="shared" si="9"/>
        <v>1</v>
      </c>
    </row>
    <row r="17">
      <c r="A17" s="1" t="s">
        <v>194</v>
      </c>
      <c r="B17" s="1"/>
      <c r="E17" s="1" t="s">
        <v>194</v>
      </c>
      <c r="F17" s="49">
        <f>F5/$B$5</f>
        <v>0.1818181818</v>
      </c>
      <c r="G17" s="49"/>
      <c r="H17" s="49">
        <f>H5/$B$5</f>
        <v>0.8181818182</v>
      </c>
      <c r="J17" s="50">
        <f t="shared" si="7"/>
        <v>1</v>
      </c>
      <c r="N17" s="1" t="s">
        <v>194</v>
      </c>
      <c r="O17" s="49"/>
      <c r="P17" s="49">
        <f>P5/$B$5</f>
        <v>0.09090909091</v>
      </c>
      <c r="Q17" s="49"/>
      <c r="R17" s="49">
        <f t="shared" ref="R17:S17" si="10">R5/$B$5</f>
        <v>0.09090909091</v>
      </c>
      <c r="S17" s="49">
        <f t="shared" si="10"/>
        <v>0.8181818182</v>
      </c>
      <c r="U17" s="50">
        <f t="shared" si="9"/>
        <v>1</v>
      </c>
    </row>
    <row r="18">
      <c r="A18" s="1" t="s">
        <v>195</v>
      </c>
      <c r="B18" s="1"/>
      <c r="E18" s="1" t="s">
        <v>195</v>
      </c>
      <c r="F18" s="49">
        <f>F6/$B$6</f>
        <v>0.5</v>
      </c>
      <c r="G18" s="49"/>
      <c r="H18" s="49">
        <f>H6/$B$6</f>
        <v>0.5</v>
      </c>
      <c r="J18" s="50">
        <f t="shared" si="7"/>
        <v>1</v>
      </c>
      <c r="N18" s="1" t="s">
        <v>195</v>
      </c>
      <c r="O18" s="49"/>
      <c r="P18" s="49">
        <f t="shared" ref="P18:S18" si="11">P6/$B$6</f>
        <v>0.25</v>
      </c>
      <c r="Q18" s="49">
        <f t="shared" si="11"/>
        <v>0.08333333333</v>
      </c>
      <c r="R18" s="49">
        <f t="shared" si="11"/>
        <v>0.1666666667</v>
      </c>
      <c r="S18" s="49">
        <f t="shared" si="11"/>
        <v>0.5</v>
      </c>
      <c r="U18" s="50">
        <f t="shared" si="9"/>
        <v>1</v>
      </c>
      <c r="X18" s="50"/>
      <c r="Y18" s="50"/>
      <c r="Z18" s="50"/>
    </row>
    <row r="19">
      <c r="A19" s="1" t="s">
        <v>196</v>
      </c>
      <c r="B19" s="1"/>
      <c r="E19" s="1" t="s">
        <v>196</v>
      </c>
      <c r="F19" s="49">
        <f>F10/$B$10</f>
        <v>0.25</v>
      </c>
      <c r="G19" s="49"/>
      <c r="H19" s="49">
        <f>H10/$B$10</f>
        <v>0.75</v>
      </c>
      <c r="J19" s="50">
        <f t="shared" si="7"/>
        <v>1</v>
      </c>
      <c r="N19" s="1" t="s">
        <v>196</v>
      </c>
      <c r="O19" s="49">
        <f t="shared" ref="O19:Q19" si="12">O10/$B$10</f>
        <v>0.0625</v>
      </c>
      <c r="P19" s="49">
        <f t="shared" si="12"/>
        <v>0.125</v>
      </c>
      <c r="Q19" s="49">
        <f t="shared" si="12"/>
        <v>0.0625</v>
      </c>
      <c r="R19" s="49"/>
      <c r="S19" s="49">
        <f>S10/$B$10</f>
        <v>0.75</v>
      </c>
      <c r="U19" s="50">
        <f t="shared" si="9"/>
        <v>1</v>
      </c>
      <c r="X19" s="50"/>
      <c r="Y19" s="50"/>
      <c r="Z19" s="50"/>
    </row>
    <row r="20">
      <c r="A20" s="1" t="s">
        <v>197</v>
      </c>
      <c r="B20" s="1"/>
      <c r="E20" s="1" t="s">
        <v>197</v>
      </c>
      <c r="F20" s="49">
        <f>F7/$B$7</f>
        <v>0.4</v>
      </c>
      <c r="G20" s="49"/>
      <c r="H20" s="49">
        <f>H7/$B$7</f>
        <v>0.6</v>
      </c>
      <c r="J20" s="50">
        <f t="shared" si="7"/>
        <v>1</v>
      </c>
      <c r="N20" s="1" t="s">
        <v>197</v>
      </c>
      <c r="O20" s="49"/>
      <c r="P20" s="49">
        <f>P7/$B$7</f>
        <v>0.2</v>
      </c>
      <c r="Q20" s="49"/>
      <c r="R20" s="49"/>
      <c r="S20" s="49">
        <f>S7/$B$7</f>
        <v>0.8</v>
      </c>
      <c r="U20" s="50">
        <f t="shared" si="9"/>
        <v>1</v>
      </c>
      <c r="X20" s="50"/>
      <c r="Y20" s="50"/>
      <c r="Z20" s="50"/>
    </row>
    <row r="21">
      <c r="A21" s="1" t="s">
        <v>198</v>
      </c>
      <c r="B21" s="1"/>
      <c r="E21" s="1" t="s">
        <v>198</v>
      </c>
      <c r="F21" s="49">
        <f t="shared" ref="F21:H21" si="13">F11/$B$11</f>
        <v>0.2</v>
      </c>
      <c r="G21" s="49">
        <f t="shared" si="13"/>
        <v>0.06666666667</v>
      </c>
      <c r="H21" s="49">
        <f t="shared" si="13"/>
        <v>0.7333333333</v>
      </c>
      <c r="J21" s="50">
        <f t="shared" si="7"/>
        <v>1</v>
      </c>
      <c r="N21" s="1" t="s">
        <v>198</v>
      </c>
      <c r="O21" s="49"/>
      <c r="P21" s="49">
        <f t="shared" ref="P21:S21" si="14">P11/$B$11</f>
        <v>0.06666666667</v>
      </c>
      <c r="Q21" s="49">
        <f t="shared" si="14"/>
        <v>0.06666666667</v>
      </c>
      <c r="R21" s="49">
        <f t="shared" si="14"/>
        <v>0.1333333333</v>
      </c>
      <c r="S21" s="49">
        <f t="shared" si="14"/>
        <v>0.7333333333</v>
      </c>
      <c r="U21" s="50">
        <f t="shared" si="9"/>
        <v>1</v>
      </c>
      <c r="X21" s="50"/>
      <c r="Y21" s="50"/>
      <c r="Z21" s="5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2.14"/>
    <col customWidth="1" min="4" max="4" width="17.71"/>
    <col customWidth="1" min="6" max="6" width="18.0"/>
    <col customWidth="1" min="7" max="7" width="17.57"/>
  </cols>
  <sheetData>
    <row r="1">
      <c r="A1" s="65" t="s">
        <v>205</v>
      </c>
      <c r="B1" s="65" t="s">
        <v>206</v>
      </c>
      <c r="C1" s="65" t="s">
        <v>33</v>
      </c>
      <c r="D1" s="65" t="s">
        <v>207</v>
      </c>
      <c r="E1" s="65" t="s">
        <v>3</v>
      </c>
      <c r="F1" s="65" t="s">
        <v>208</v>
      </c>
      <c r="G1" s="65" t="s">
        <v>22</v>
      </c>
    </row>
    <row r="2">
      <c r="A2" s="66" t="s">
        <v>192</v>
      </c>
      <c r="B2" s="49">
        <f>sum('Graphs 1 (Influences)'!F15:G15)</f>
        <v>0.5</v>
      </c>
      <c r="C2" s="49">
        <f>sum('Graphs 1 (Influences)'!O15:P15)</f>
        <v>0.4166666667</v>
      </c>
      <c r="D2" s="49">
        <f>sum('Graphs 1 (Influences)'!X15:Y15)</f>
        <v>0.1666666667</v>
      </c>
      <c r="E2" s="49">
        <f>sum('Graphs 1 (Influences)'!AE15)</f>
        <v>0.4166666667</v>
      </c>
      <c r="F2" s="49">
        <f>sum('Graphs 2 (Influences)'!F15:G15)</f>
        <v>0.9166666667</v>
      </c>
      <c r="G2" s="49">
        <f>sum('Graphs 2 (Influences)'!X15:Y15)</f>
        <v>0.5</v>
      </c>
    </row>
    <row r="3">
      <c r="A3" s="66" t="s">
        <v>193</v>
      </c>
      <c r="B3" s="49">
        <f>sum('Graphs 1 (Influences)'!F16:G16)</f>
        <v>0.9090909091</v>
      </c>
      <c r="C3" s="49">
        <f>sum('Graphs 1 (Influences)'!O16:P16)</f>
        <v>0.7272727273</v>
      </c>
      <c r="D3" s="49">
        <f>sum('Graphs 1 (Influences)'!X16:Y16)</f>
        <v>0.4545454545</v>
      </c>
      <c r="E3" s="49">
        <f>sum('Graphs 1 (Influences)'!AE16)</f>
        <v>0.6666666667</v>
      </c>
      <c r="F3" s="49">
        <f>sum('Graphs 2 (Influences)'!F16:G16)</f>
        <v>0.5454545455</v>
      </c>
      <c r="G3" s="49">
        <f>sum('Graphs 2 (Influences)'!X16:Y16)</f>
        <v>1</v>
      </c>
    </row>
    <row r="4">
      <c r="A4" s="66" t="s">
        <v>194</v>
      </c>
      <c r="B4" s="49">
        <f>sum('Graphs 1 (Influences)'!F17:G17)</f>
        <v>0.8181818182</v>
      </c>
      <c r="C4" s="49">
        <f>sum('Graphs 1 (Influences)'!O17:P17)</f>
        <v>0.6363636364</v>
      </c>
      <c r="D4" s="49">
        <f>sum('Graphs 1 (Influences)'!X17:Y17)</f>
        <v>0.6363636364</v>
      </c>
      <c r="E4" s="49">
        <f>sum('Graphs 1 (Influences)'!AE17)</f>
        <v>0.5</v>
      </c>
      <c r="F4" s="49">
        <f>sum('Graphs 2 (Influences)'!F17:G17)</f>
        <v>0.1818181818</v>
      </c>
      <c r="G4" s="49">
        <f>sum('Graphs 2 (Influences)'!X17:Y17)</f>
        <v>0.9090909091</v>
      </c>
    </row>
    <row r="5">
      <c r="A5" s="66" t="s">
        <v>195</v>
      </c>
      <c r="B5" s="49">
        <f>sum('Graphs 1 (Influences)'!F18:G18)</f>
        <v>0.4166666667</v>
      </c>
      <c r="C5" s="49">
        <f>sum('Graphs 1 (Influences)'!O18:P18)</f>
        <v>0.3333333333</v>
      </c>
      <c r="D5" s="49">
        <f>sum('Graphs 1 (Influences)'!X18:Y18)</f>
        <v>0.1666666667</v>
      </c>
      <c r="E5" s="49">
        <f>sum('Graphs 1 (Influences)'!AE18)</f>
        <v>0.4166666667</v>
      </c>
      <c r="F5" s="49">
        <f>sum('Graphs 2 (Influences)'!F18:G18)</f>
        <v>0.5</v>
      </c>
      <c r="G5" s="49">
        <f>sum('Graphs 2 (Influences)'!X18:Y18)</f>
        <v>0.6666666667</v>
      </c>
    </row>
    <row r="6">
      <c r="A6" s="66" t="s">
        <v>196</v>
      </c>
      <c r="B6" s="49">
        <f>sum('Graphs 1 (Influences)'!F19:G19)</f>
        <v>0.6875</v>
      </c>
      <c r="C6" s="49">
        <f>sum('Graphs 1 (Influences)'!O19:P19)</f>
        <v>0.5625</v>
      </c>
      <c r="D6" s="49">
        <f>sum('Graphs 1 (Influences)'!X19:Y19)</f>
        <v>0.4375</v>
      </c>
      <c r="E6" s="49">
        <f>sum('Graphs 1 (Influences)'!AE19)</f>
        <v>0.5625</v>
      </c>
      <c r="F6" s="49">
        <f>sum('Graphs 2 (Influences)'!F19:G19)</f>
        <v>0.25</v>
      </c>
      <c r="G6" s="49">
        <f>sum('Graphs 2 (Influences)'!X19:Y19)</f>
        <v>0.8125</v>
      </c>
    </row>
    <row r="7">
      <c r="A7" s="66" t="s">
        <v>197</v>
      </c>
      <c r="B7" s="49">
        <f>sum('Graphs 1 (Influences)'!F20:G20)</f>
        <v>0.8</v>
      </c>
      <c r="C7" s="49">
        <f>sum('Graphs 1 (Influences)'!O20:P20)</f>
        <v>0</v>
      </c>
      <c r="D7" s="49">
        <f>sum('Graphs 1 (Influences)'!X20:Y20)</f>
        <v>0.2</v>
      </c>
      <c r="E7" s="49">
        <f>sum('Graphs 1 (Influences)'!AE20)</f>
        <v>0.2</v>
      </c>
      <c r="F7" s="49">
        <f>sum('Graphs 2 (Influences)'!F20:G20)</f>
        <v>0.4</v>
      </c>
      <c r="G7" s="49">
        <f>sum('Graphs 2 (Influences)'!X20:Y20)</f>
        <v>0.8</v>
      </c>
    </row>
    <row r="8">
      <c r="A8" s="67" t="s">
        <v>198</v>
      </c>
      <c r="B8" s="49">
        <f>sum('Graphs 1 (Influences)'!F21:G21)</f>
        <v>0.8666666667</v>
      </c>
      <c r="C8" s="49">
        <f>sum('Graphs 1 (Influences)'!O21:P21)</f>
        <v>0.6666666667</v>
      </c>
      <c r="D8" s="49">
        <f>sum('Graphs 1 (Influences)'!X21:Y21)</f>
        <v>0.4</v>
      </c>
      <c r="E8" s="49">
        <f>sum('Graphs 1 (Influences)'!AE21)</f>
        <v>0.6</v>
      </c>
      <c r="F8" s="49">
        <f>sum('Graphs 2 (Influences)'!F21:G21)</f>
        <v>0.2666666667</v>
      </c>
      <c r="G8" s="49">
        <f>sum('Graphs 2 (Influences)'!X21:Y21)</f>
        <v>0.9333333333</v>
      </c>
    </row>
    <row r="33">
      <c r="A33" s="65" t="s">
        <v>205</v>
      </c>
      <c r="B33" s="65" t="s">
        <v>206</v>
      </c>
      <c r="C33" s="65" t="s">
        <v>33</v>
      </c>
      <c r="D33" s="65" t="s">
        <v>207</v>
      </c>
      <c r="E33" s="65" t="s">
        <v>3</v>
      </c>
      <c r="F33" s="65" t="s">
        <v>208</v>
      </c>
      <c r="G33" s="65" t="s">
        <v>22</v>
      </c>
    </row>
    <row r="34">
      <c r="A34" s="66" t="s">
        <v>192</v>
      </c>
      <c r="B34" s="49">
        <f>'Graphs 1 (Influences)'!F15</f>
        <v>0.4166666667</v>
      </c>
      <c r="C34" s="49">
        <f>'Graphs 1 (Influences)'!O15</f>
        <v>0.1666666667</v>
      </c>
      <c r="D34" s="49">
        <f>'Graphs 1 (Influences)'!X15</f>
        <v>0.1666666667</v>
      </c>
      <c r="E34" s="49">
        <f>'Graphs 1 (Influences)'!AE15</f>
        <v>0.4166666667</v>
      </c>
      <c r="F34" s="49">
        <f>'Graphs 2 (Influences)'!F15</f>
        <v>0.9166666667</v>
      </c>
      <c r="G34" s="49">
        <f>'Graphs 2 (Influences)'!X15</f>
        <v>0.5</v>
      </c>
    </row>
    <row r="35">
      <c r="A35" s="66" t="s">
        <v>193</v>
      </c>
      <c r="B35" s="49">
        <f>'Graphs 1 (Influences)'!F16</f>
        <v>0.8181818182</v>
      </c>
      <c r="C35" s="49">
        <f>'Graphs 1 (Influences)'!O16</f>
        <v>0.6363636364</v>
      </c>
      <c r="D35" s="49">
        <f>'Graphs 1 (Influences)'!X16</f>
        <v>0.4545454545</v>
      </c>
      <c r="E35" s="49">
        <f>'Graphs 1 (Influences)'!AE16</f>
        <v>0.6666666667</v>
      </c>
      <c r="F35" s="49">
        <f>'Graphs 2 (Influences)'!F16</f>
        <v>0.4545454545</v>
      </c>
      <c r="G35" s="49">
        <f>'Graphs 2 (Influences)'!X16</f>
        <v>0.9090909091</v>
      </c>
    </row>
    <row r="36">
      <c r="A36" s="66" t="s">
        <v>194</v>
      </c>
      <c r="B36" s="49">
        <f>'Graphs 1 (Influences)'!F17</f>
        <v>0.7272727273</v>
      </c>
      <c r="C36" s="49">
        <f>'Graphs 1 (Influences)'!O17</f>
        <v>0.4545454545</v>
      </c>
      <c r="D36" s="49">
        <f>'Graphs 1 (Influences)'!X17</f>
        <v>0.5454545455</v>
      </c>
      <c r="E36" s="49">
        <f>'Graphs 1 (Influences)'!AE17</f>
        <v>0.5</v>
      </c>
      <c r="F36" s="49">
        <f>'Graphs 2 (Influences)'!F17</f>
        <v>0.1818181818</v>
      </c>
      <c r="G36" s="49">
        <f>'Graphs 2 (Influences)'!X17</f>
        <v>0.8181818182</v>
      </c>
    </row>
    <row r="37">
      <c r="A37" s="66" t="s">
        <v>195</v>
      </c>
      <c r="B37" s="49">
        <f>'Graphs 1 (Influences)'!F18</f>
        <v>0.4166666667</v>
      </c>
      <c r="C37" s="49">
        <f>'Graphs 1 (Influences)'!O18</f>
        <v>0.3333333333</v>
      </c>
      <c r="D37" s="49">
        <f>'Graphs 1 (Influences)'!X18</f>
        <v>0.1666666667</v>
      </c>
      <c r="E37" s="49">
        <f>'Graphs 1 (Influences)'!AE18</f>
        <v>0.4166666667</v>
      </c>
      <c r="F37" s="49">
        <f>'Graphs 2 (Influences)'!F18</f>
        <v>0.5</v>
      </c>
      <c r="G37" s="49">
        <f>'Graphs 2 (Influences)'!X18</f>
        <v>0.1666666667</v>
      </c>
    </row>
    <row r="38">
      <c r="A38" s="66" t="s">
        <v>196</v>
      </c>
      <c r="B38" s="49">
        <f>'Graphs 1 (Influences)'!F19</f>
        <v>0.625</v>
      </c>
      <c r="C38" s="49">
        <f>'Graphs 1 (Influences)'!O19</f>
        <v>0.4375</v>
      </c>
      <c r="D38" s="49">
        <f>'Graphs 1 (Influences)'!X19</f>
        <v>0.3125</v>
      </c>
      <c r="E38" s="49">
        <f>'Graphs 1 (Influences)'!AE19</f>
        <v>0.5625</v>
      </c>
      <c r="F38" s="49">
        <f>'Graphs 2 (Influences)'!F19</f>
        <v>0.25</v>
      </c>
      <c r="G38" s="49">
        <f>'Graphs 2 (Influences)'!X19</f>
        <v>0.6875</v>
      </c>
    </row>
    <row r="39">
      <c r="A39" s="66" t="s">
        <v>197</v>
      </c>
      <c r="B39" s="49">
        <f>'Graphs 1 (Influences)'!F20</f>
        <v>0.4</v>
      </c>
      <c r="C39" s="49" t="str">
        <f>'Graphs 1 (Influences)'!O20</f>
        <v/>
      </c>
      <c r="D39" s="49" t="str">
        <f>'Graphs 1 (Influences)'!X20</f>
        <v/>
      </c>
      <c r="E39" s="49">
        <f>'Graphs 1 (Influences)'!AE20</f>
        <v>0.2</v>
      </c>
      <c r="F39" s="49">
        <f>'Graphs 2 (Influences)'!F20</f>
        <v>0.4</v>
      </c>
      <c r="G39" s="49" t="str">
        <f>'Graphs 2 (Influences)'!X20</f>
        <v/>
      </c>
    </row>
    <row r="40">
      <c r="A40" s="67" t="s">
        <v>198</v>
      </c>
      <c r="B40" s="49">
        <f>'Graphs 1 (Influences)'!F21</f>
        <v>0.7333333333</v>
      </c>
      <c r="C40" s="49">
        <f>'Graphs 1 (Influences)'!O21</f>
        <v>0.2666666667</v>
      </c>
      <c r="D40" s="49">
        <f>'Graphs 1 (Influences)'!X21</f>
        <v>0.2666666667</v>
      </c>
      <c r="E40" s="49">
        <f>'Graphs 1 (Influences)'!AE21</f>
        <v>0.6</v>
      </c>
      <c r="F40" s="49">
        <f>'Graphs 2 (Influences)'!F21</f>
        <v>0.2</v>
      </c>
      <c r="G40" s="49">
        <f>'Graphs 2 (Influences)'!X21</f>
        <v>0.6</v>
      </c>
    </row>
    <row r="66">
      <c r="I66" s="1" t="s">
        <v>209</v>
      </c>
    </row>
    <row r="67">
      <c r="A67" s="65" t="s">
        <v>205</v>
      </c>
      <c r="B67" s="65" t="s">
        <v>206</v>
      </c>
      <c r="C67" s="65" t="s">
        <v>33</v>
      </c>
      <c r="D67" s="65" t="s">
        <v>207</v>
      </c>
      <c r="E67" s="65" t="s">
        <v>3</v>
      </c>
      <c r="F67" s="65" t="s">
        <v>210</v>
      </c>
      <c r="G67" s="65" t="s">
        <v>22</v>
      </c>
    </row>
    <row r="68">
      <c r="A68" s="66" t="s">
        <v>193</v>
      </c>
      <c r="B68" s="49">
        <v>0.8181818181818182</v>
      </c>
      <c r="C68" s="49">
        <v>0.6363636363636364</v>
      </c>
      <c r="D68" s="49">
        <v>0.45454545454545453</v>
      </c>
      <c r="E68" s="49">
        <v>0.6666666666666666</v>
      </c>
      <c r="F68" s="49">
        <v>0.45454545454545453</v>
      </c>
      <c r="G68" s="49">
        <v>0.9090909090909091</v>
      </c>
    </row>
    <row r="71">
      <c r="A71" s="65" t="s">
        <v>205</v>
      </c>
      <c r="B71" s="65" t="s">
        <v>206</v>
      </c>
      <c r="C71" s="65" t="s">
        <v>33</v>
      </c>
      <c r="D71" s="65" t="s">
        <v>207</v>
      </c>
      <c r="E71" s="65" t="s">
        <v>3</v>
      </c>
      <c r="F71" s="65" t="s">
        <v>210</v>
      </c>
      <c r="G71" s="65" t="s">
        <v>22</v>
      </c>
    </row>
    <row r="72">
      <c r="A72" s="66" t="s">
        <v>194</v>
      </c>
      <c r="B72" s="49">
        <v>0.7272727272727273</v>
      </c>
      <c r="C72" s="49">
        <v>0.45454545454545453</v>
      </c>
      <c r="D72" s="49">
        <v>0.5454545454545454</v>
      </c>
      <c r="E72" s="49">
        <v>0.5</v>
      </c>
      <c r="F72" s="49">
        <v>0.18181818181818182</v>
      </c>
      <c r="G72" s="49">
        <v>0.8181818181818182</v>
      </c>
    </row>
    <row r="74">
      <c r="A74" s="65" t="s">
        <v>205</v>
      </c>
      <c r="B74" s="65" t="s">
        <v>206</v>
      </c>
      <c r="C74" s="65" t="s">
        <v>33</v>
      </c>
      <c r="D74" s="65" t="s">
        <v>207</v>
      </c>
      <c r="E74" s="65" t="s">
        <v>3</v>
      </c>
      <c r="F74" s="65" t="s">
        <v>210</v>
      </c>
      <c r="G74" s="65" t="s">
        <v>22</v>
      </c>
    </row>
    <row r="75">
      <c r="A75" s="66" t="s">
        <v>195</v>
      </c>
      <c r="B75" s="49">
        <v>0.4166666666666667</v>
      </c>
      <c r="C75" s="49">
        <v>0.3333333333333333</v>
      </c>
      <c r="D75" s="49">
        <v>0.16666666666666666</v>
      </c>
      <c r="E75" s="49">
        <v>0.4166666666666667</v>
      </c>
      <c r="F75" s="49">
        <v>0.5</v>
      </c>
      <c r="G75" s="49">
        <v>0.16666666666666666</v>
      </c>
    </row>
    <row r="76">
      <c r="A76" s="66" t="s">
        <v>196</v>
      </c>
      <c r="B76" s="49">
        <v>0.625</v>
      </c>
      <c r="C76" s="49">
        <v>0.4375</v>
      </c>
      <c r="D76" s="49">
        <v>0.3125</v>
      </c>
      <c r="E76" s="49">
        <v>0.5625</v>
      </c>
      <c r="F76" s="49">
        <v>0.25</v>
      </c>
      <c r="G76" s="49">
        <v>0.6875</v>
      </c>
    </row>
    <row r="78">
      <c r="A78" s="65" t="s">
        <v>205</v>
      </c>
      <c r="B78" s="65" t="s">
        <v>206</v>
      </c>
      <c r="C78" s="65" t="s">
        <v>33</v>
      </c>
      <c r="D78" s="65" t="s">
        <v>207</v>
      </c>
      <c r="E78" s="65" t="s">
        <v>3</v>
      </c>
      <c r="F78" s="65" t="s">
        <v>210</v>
      </c>
      <c r="G78" s="65" t="s">
        <v>22</v>
      </c>
    </row>
    <row r="79">
      <c r="A79" s="66" t="s">
        <v>197</v>
      </c>
      <c r="B79" s="49">
        <v>0.4</v>
      </c>
      <c r="C79" s="49"/>
      <c r="D79" s="49"/>
      <c r="E79" s="49">
        <v>0.2</v>
      </c>
      <c r="F79" s="49">
        <v>0.4</v>
      </c>
      <c r="G79" s="49"/>
    </row>
    <row r="80">
      <c r="A80" s="67" t="s">
        <v>198</v>
      </c>
      <c r="B80" s="49">
        <v>0.7333333333333333</v>
      </c>
      <c r="C80" s="49">
        <v>0.26666666666666666</v>
      </c>
      <c r="D80" s="49">
        <v>0.26666666666666666</v>
      </c>
      <c r="E80" s="49">
        <v>0.6</v>
      </c>
      <c r="F80" s="49">
        <v>0.2</v>
      </c>
      <c r="G80" s="49">
        <v>0.6</v>
      </c>
    </row>
    <row r="81">
      <c r="B81" s="1" t="s">
        <v>211</v>
      </c>
    </row>
    <row r="85">
      <c r="I85" s="1" t="s">
        <v>212</v>
      </c>
    </row>
    <row r="104">
      <c r="B104" s="1" t="s">
        <v>213</v>
      </c>
    </row>
    <row r="105">
      <c r="I105" s="1" t="s">
        <v>214</v>
      </c>
    </row>
    <row r="124">
      <c r="A124" s="65" t="s">
        <v>205</v>
      </c>
      <c r="B124" s="65" t="s">
        <v>206</v>
      </c>
      <c r="C124" s="65" t="s">
        <v>33</v>
      </c>
      <c r="D124" s="65" t="s">
        <v>207</v>
      </c>
      <c r="E124" s="65" t="s">
        <v>3</v>
      </c>
      <c r="F124" s="65" t="s">
        <v>210</v>
      </c>
      <c r="G124" s="65" t="s">
        <v>22</v>
      </c>
    </row>
    <row r="125">
      <c r="A125" s="66" t="s">
        <v>192</v>
      </c>
      <c r="B125" s="49">
        <v>0.4166666666666667</v>
      </c>
      <c r="C125" s="49">
        <v>0.16666666666666666</v>
      </c>
      <c r="D125" s="49">
        <v>0.16666666666666666</v>
      </c>
      <c r="E125" s="49">
        <v>0.4166666666666667</v>
      </c>
      <c r="F125" s="49">
        <v>0.9166666666666666</v>
      </c>
      <c r="G125" s="49">
        <v>0.5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2024-02-12T09:43:43Z</dcterms:created>
  <dc:creator>Wasiq</dc:creator>
</cp:coreProperties>
</file>