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defaultThemeVersion="124226"/>
  <mc:AlternateContent xmlns:mc="http://schemas.openxmlformats.org/markup-compatibility/2006">
    <mc:Choice Requires="x15">
      <x15ac:absPath xmlns:x15ac="http://schemas.microsoft.com/office/spreadsheetml/2010/11/ac" url="/Users/anusha/Desktop/Study Material Anusha/CF Semester Project/Final Excel and Report/"/>
    </mc:Choice>
  </mc:AlternateContent>
  <xr:revisionPtr revIDLastSave="0" documentId="13_ncr:1_{71E5DC41-46E5-7B44-8C85-963E7823F166}" xr6:coauthVersionLast="47" xr6:coauthVersionMax="47" xr10:uidLastSave="{00000000-0000-0000-0000-000000000000}"/>
  <bookViews>
    <workbookView xWindow="0" yWindow="0" windowWidth="28800" windowHeight="18000" firstSheet="5" activeTab="14" xr2:uid="{00000000-000D-0000-FFFF-FFFF00000000}"/>
  </bookViews>
  <sheets>
    <sheet name="Historical IS" sheetId="2" r:id="rId1"/>
    <sheet name="Historical BS" sheetId="1" r:id="rId2"/>
    <sheet name="Cash Flow" sheetId="3" r:id="rId3"/>
    <sheet name="FA Measures" sheetId="10" r:id="rId4"/>
    <sheet name="Plan - Sales" sheetId="13" r:id="rId5"/>
    <sheet name="Plan - WC" sheetId="25" r:id="rId6"/>
    <sheet name="Plan - Income Stat" sheetId="21" r:id="rId7"/>
    <sheet name="WACC" sheetId="5" r:id="rId8"/>
    <sheet name="Plan of Investments" sheetId="24" r:id="rId9"/>
    <sheet name="FCFF and Valuation" sheetId="23" r:id="rId10"/>
    <sheet name="CS Vertical BS" sheetId="7" r:id="rId11"/>
    <sheet name="CS Vertical IS" sheetId="6" r:id="rId12"/>
    <sheet name="CS Horizontal IS" sheetId="8" r:id="rId13"/>
    <sheet name="CS Horizontal BS" sheetId="9" r:id="rId14"/>
    <sheet name="Revenue Share" sheetId="16"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5" l="1"/>
  <c r="D45" i="5"/>
  <c r="E45" i="5"/>
  <c r="F45" i="5"/>
  <c r="B45" i="5"/>
  <c r="O3" i="16"/>
  <c r="P3" i="16"/>
  <c r="Q3" i="16"/>
  <c r="R3" i="16"/>
  <c r="S3" i="16"/>
  <c r="T3" i="16"/>
  <c r="U3" i="16"/>
  <c r="U4" i="16" s="1"/>
  <c r="V3" i="16"/>
  <c r="V4" i="16" s="1"/>
  <c r="W3" i="16"/>
  <c r="X3" i="16"/>
  <c r="O4" i="16"/>
  <c r="P4" i="16"/>
  <c r="Q4" i="16"/>
  <c r="R4" i="16"/>
  <c r="S4" i="16"/>
  <c r="T4" i="16"/>
  <c r="W4" i="16"/>
  <c r="X4" i="16"/>
  <c r="C24" i="10"/>
  <c r="D24" i="10"/>
  <c r="E24" i="10"/>
  <c r="F24" i="10"/>
  <c r="B24" i="10"/>
  <c r="T31" i="16" l="1"/>
  <c r="T30" i="16"/>
  <c r="O31" i="16"/>
  <c r="AN27" i="13"/>
  <c r="AO27" i="13"/>
  <c r="AP27" i="13"/>
  <c r="AQ27" i="13"/>
  <c r="AM27" i="13"/>
  <c r="B47" i="6"/>
  <c r="H41" i="13"/>
  <c r="I41" i="13"/>
  <c r="AJ27" i="13" s="1"/>
  <c r="J41" i="13"/>
  <c r="AK27" i="13" s="1"/>
  <c r="K41" i="13"/>
  <c r="AL27" i="13" s="1"/>
  <c r="G41" i="13"/>
  <c r="AI27" i="13"/>
  <c r="C43" i="2"/>
  <c r="D43" i="2"/>
  <c r="E43" i="2"/>
  <c r="F43" i="2"/>
  <c r="B43" i="2"/>
  <c r="C34" i="23"/>
  <c r="D34" i="23"/>
  <c r="E34" i="23"/>
  <c r="F34" i="23"/>
  <c r="B34" i="23"/>
  <c r="C48" i="1"/>
  <c r="D48" i="1"/>
  <c r="E48" i="1"/>
  <c r="F48" i="1"/>
  <c r="B48" i="1"/>
  <c r="AE27" i="13" l="1"/>
  <c r="AF27" i="13"/>
  <c r="AG27" i="13"/>
  <c r="AH27" i="13"/>
  <c r="AE26" i="13"/>
  <c r="AF26" i="13"/>
  <c r="AG26" i="13"/>
  <c r="AH26" i="13"/>
  <c r="AD27" i="13"/>
  <c r="AD26" i="13"/>
  <c r="AD25" i="13"/>
  <c r="AE25" i="13"/>
  <c r="AF25" i="13"/>
  <c r="AG25" i="13"/>
  <c r="AH25" i="13"/>
  <c r="AI25" i="13"/>
  <c r="AJ25" i="13"/>
  <c r="AK25" i="13"/>
  <c r="AL25" i="13"/>
  <c r="AM25" i="13"/>
  <c r="AN25" i="13"/>
  <c r="AO25" i="13"/>
  <c r="AP25" i="13"/>
  <c r="AQ25" i="13"/>
  <c r="AC25" i="13"/>
  <c r="C24" i="23"/>
  <c r="C25" i="23" s="1"/>
  <c r="D24" i="23"/>
  <c r="D25" i="23" s="1"/>
  <c r="E24" i="23"/>
  <c r="E25" i="23" s="1"/>
  <c r="F24" i="23"/>
  <c r="F25" i="23" s="1"/>
  <c r="C23" i="23"/>
  <c r="D23" i="23"/>
  <c r="E23" i="23"/>
  <c r="F23" i="23"/>
  <c r="B23" i="23"/>
  <c r="B24" i="23"/>
  <c r="B25" i="23" s="1"/>
  <c r="C22" i="23"/>
  <c r="D22" i="23"/>
  <c r="E22" i="23"/>
  <c r="F22" i="23"/>
  <c r="B22" i="23"/>
  <c r="C9" i="23"/>
  <c r="D9" i="23"/>
  <c r="E9" i="23"/>
  <c r="F9" i="23"/>
  <c r="B9" i="23"/>
  <c r="H9" i="23"/>
  <c r="I9" i="23"/>
  <c r="J9" i="23"/>
  <c r="K9" i="23"/>
  <c r="G9" i="23"/>
  <c r="C8" i="23"/>
  <c r="D8" i="23"/>
  <c r="E8" i="23"/>
  <c r="F8" i="23"/>
  <c r="B8" i="23"/>
  <c r="H7" i="23"/>
  <c r="I7" i="23"/>
  <c r="J7" i="23"/>
  <c r="K7" i="23"/>
  <c r="G7" i="23"/>
  <c r="C7" i="23"/>
  <c r="D7" i="23"/>
  <c r="E7" i="23"/>
  <c r="F7" i="23"/>
  <c r="B7" i="23"/>
  <c r="C6" i="23"/>
  <c r="D6" i="23"/>
  <c r="E6" i="23"/>
  <c r="F6" i="23"/>
  <c r="B6" i="23"/>
  <c r="B47" i="5"/>
  <c r="C47" i="5"/>
  <c r="D47" i="5"/>
  <c r="E47" i="5"/>
  <c r="F47" i="5"/>
  <c r="B24" i="5"/>
  <c r="C24" i="5"/>
  <c r="D24" i="5"/>
  <c r="E24" i="5"/>
  <c r="F24" i="5"/>
  <c r="F26" i="23" l="1"/>
  <c r="E26" i="23"/>
  <c r="C26" i="23"/>
  <c r="B26" i="23"/>
  <c r="C27" i="23" s="1"/>
  <c r="C10" i="23" s="1"/>
  <c r="C11" i="23" s="1"/>
  <c r="D26" i="23"/>
  <c r="D27" i="23" s="1"/>
  <c r="D10" i="23" s="1"/>
  <c r="D11" i="23" s="1"/>
  <c r="F27" i="23" l="1"/>
  <c r="F10" i="23" s="1"/>
  <c r="F11" i="23" s="1"/>
  <c r="E27" i="23"/>
  <c r="E10" i="23" s="1"/>
  <c r="E11" i="23" s="1"/>
  <c r="C46" i="5"/>
  <c r="D46" i="5"/>
  <c r="E46" i="5"/>
  <c r="F46" i="5"/>
  <c r="B46" i="5"/>
  <c r="B44" i="5" l="1"/>
  <c r="C44" i="5"/>
  <c r="D44" i="5"/>
  <c r="E44" i="5"/>
  <c r="B43" i="5"/>
  <c r="C43" i="5"/>
  <c r="D43" i="5"/>
  <c r="E43" i="5"/>
  <c r="F44" i="5"/>
  <c r="F43" i="5"/>
  <c r="C42" i="5" l="1"/>
  <c r="D42" i="5"/>
  <c r="E42" i="5"/>
  <c r="F42" i="5"/>
  <c r="B42" i="5"/>
  <c r="C38" i="5"/>
  <c r="D38" i="5"/>
  <c r="E38" i="5"/>
  <c r="F38" i="5"/>
  <c r="B38" i="5"/>
  <c r="C24" i="2"/>
  <c r="D24" i="2"/>
  <c r="E24" i="2"/>
  <c r="F24" i="2"/>
  <c r="B24" i="2"/>
  <c r="C6" i="5"/>
  <c r="D6" i="5"/>
  <c r="E6" i="5"/>
  <c r="F6" i="5"/>
  <c r="B6" i="5"/>
  <c r="C30" i="5"/>
  <c r="D30" i="5"/>
  <c r="E30" i="5"/>
  <c r="F30" i="5"/>
  <c r="B30" i="5"/>
  <c r="C7" i="5"/>
  <c r="C14" i="5" s="1"/>
  <c r="C37" i="5" s="1"/>
  <c r="D7" i="5"/>
  <c r="D14" i="5" s="1"/>
  <c r="D16" i="5" s="1"/>
  <c r="E7" i="5"/>
  <c r="E14" i="5" s="1"/>
  <c r="F7" i="5"/>
  <c r="F8" i="5" s="1"/>
  <c r="B7" i="5"/>
  <c r="B14" i="5" s="1"/>
  <c r="E19" i="25"/>
  <c r="D16" i="25"/>
  <c r="E16" i="25"/>
  <c r="F16" i="25"/>
  <c r="G16" i="25"/>
  <c r="C16" i="25"/>
  <c r="D15" i="25"/>
  <c r="E15" i="25"/>
  <c r="F15" i="25"/>
  <c r="G15" i="25"/>
  <c r="D14" i="25"/>
  <c r="E14" i="25"/>
  <c r="F14" i="25"/>
  <c r="G14" i="25"/>
  <c r="C15" i="25"/>
  <c r="C14" i="25"/>
  <c r="D13" i="25"/>
  <c r="E13" i="25"/>
  <c r="F13" i="25"/>
  <c r="G13" i="25"/>
  <c r="C13" i="25"/>
  <c r="B10" i="25"/>
  <c r="D2" i="25"/>
  <c r="E2" i="25"/>
  <c r="F2" i="25"/>
  <c r="G2" i="25"/>
  <c r="C2" i="25"/>
  <c r="D12" i="24"/>
  <c r="E12" i="24"/>
  <c r="F12" i="24"/>
  <c r="C12" i="24"/>
  <c r="B12" i="24"/>
  <c r="B10" i="24"/>
  <c r="D11" i="24"/>
  <c r="E11" i="24"/>
  <c r="F11" i="24"/>
  <c r="C11" i="24"/>
  <c r="B11" i="24"/>
  <c r="D10" i="24"/>
  <c r="E10" i="24"/>
  <c r="F10" i="24" s="1"/>
  <c r="C10" i="24"/>
  <c r="G6" i="24"/>
  <c r="G4" i="24"/>
  <c r="B15" i="1"/>
  <c r="C5" i="24"/>
  <c r="D5" i="24"/>
  <c r="D6" i="24" s="1"/>
  <c r="E5" i="24"/>
  <c r="F5" i="24"/>
  <c r="E6" i="24"/>
  <c r="F6" i="24"/>
  <c r="C6" i="24"/>
  <c r="B5" i="24"/>
  <c r="D4" i="24"/>
  <c r="E4" i="24"/>
  <c r="F4" i="24"/>
  <c r="C4" i="24"/>
  <c r="C3" i="24"/>
  <c r="D3" i="24"/>
  <c r="E3" i="24"/>
  <c r="F3" i="24"/>
  <c r="B3" i="24"/>
  <c r="C11" i="21"/>
  <c r="D11" i="21"/>
  <c r="E11" i="21"/>
  <c r="C10" i="21"/>
  <c r="D10" i="21"/>
  <c r="E10" i="21"/>
  <c r="F10" i="21"/>
  <c r="F11" i="21" s="1"/>
  <c r="B22" i="21" s="1"/>
  <c r="C9" i="21"/>
  <c r="D9" i="21"/>
  <c r="E9" i="21"/>
  <c r="F9" i="21"/>
  <c r="B10" i="21"/>
  <c r="B11" i="21" s="1"/>
  <c r="G11" i="21" s="1"/>
  <c r="B9" i="21"/>
  <c r="G18" i="2"/>
  <c r="C15" i="21"/>
  <c r="D15" i="21"/>
  <c r="E15" i="21"/>
  <c r="F15" i="21"/>
  <c r="B15" i="21"/>
  <c r="H33" i="1"/>
  <c r="H26" i="1"/>
  <c r="H5" i="3"/>
  <c r="I17" i="3"/>
  <c r="M17" i="3" s="1"/>
  <c r="N17" i="3" s="1"/>
  <c r="J17" i="3"/>
  <c r="K17" i="3"/>
  <c r="L17" i="3"/>
  <c r="H17" i="3"/>
  <c r="G8" i="23" l="1"/>
  <c r="C22" i="21"/>
  <c r="F19" i="25"/>
  <c r="D39" i="5"/>
  <c r="D48" i="5" s="1"/>
  <c r="D33" i="23" s="1"/>
  <c r="D25" i="5"/>
  <c r="D19" i="25"/>
  <c r="C19" i="25"/>
  <c r="G19" i="25"/>
  <c r="E34" i="5"/>
  <c r="E33" i="5"/>
  <c r="E31" i="5"/>
  <c r="D34" i="5"/>
  <c r="D33" i="5"/>
  <c r="D31" i="5"/>
  <c r="C34" i="5"/>
  <c r="C31" i="5"/>
  <c r="C33" i="5"/>
  <c r="B34" i="5"/>
  <c r="B33" i="5"/>
  <c r="B31" i="5"/>
  <c r="F34" i="5"/>
  <c r="F31" i="5"/>
  <c r="F33" i="5"/>
  <c r="E11" i="5"/>
  <c r="D11" i="5"/>
  <c r="C10" i="5"/>
  <c r="B11" i="5"/>
  <c r="F10" i="5"/>
  <c r="E10" i="5"/>
  <c r="D8" i="5"/>
  <c r="C11" i="5"/>
  <c r="C8" i="5"/>
  <c r="B37" i="5"/>
  <c r="B16" i="5"/>
  <c r="E16" i="5"/>
  <c r="E37" i="5"/>
  <c r="B8" i="5"/>
  <c r="D10" i="5"/>
  <c r="D37" i="5"/>
  <c r="F11" i="5"/>
  <c r="F14" i="5"/>
  <c r="C16" i="5"/>
  <c r="E8" i="5"/>
  <c r="B10" i="5"/>
  <c r="M11" i="13"/>
  <c r="N11" i="13"/>
  <c r="O11" i="13"/>
  <c r="P11" i="13"/>
  <c r="L11" i="13"/>
  <c r="M3" i="13"/>
  <c r="N3" i="13"/>
  <c r="O3" i="13"/>
  <c r="P3" i="13"/>
  <c r="L3" i="13"/>
  <c r="AM13" i="13"/>
  <c r="E39" i="5" l="1"/>
  <c r="E48" i="5" s="1"/>
  <c r="E33" i="23" s="1"/>
  <c r="E25" i="5"/>
  <c r="H8" i="23"/>
  <c r="D22" i="21"/>
  <c r="C39" i="5"/>
  <c r="C48" i="5" s="1"/>
  <c r="C33" i="23" s="1"/>
  <c r="C25" i="5"/>
  <c r="B39" i="5"/>
  <c r="B48" i="5" s="1"/>
  <c r="B25" i="5"/>
  <c r="F16" i="5"/>
  <c r="F37" i="5"/>
  <c r="G5" i="7"/>
  <c r="G6" i="7"/>
  <c r="G7" i="7"/>
  <c r="G8" i="7"/>
  <c r="G9" i="7"/>
  <c r="G10" i="7"/>
  <c r="G12" i="7"/>
  <c r="G13" i="7"/>
  <c r="G14" i="7"/>
  <c r="G16" i="7"/>
  <c r="G17" i="7"/>
  <c r="G18" i="7"/>
  <c r="G19" i="7"/>
  <c r="G20" i="7"/>
  <c r="G24" i="7"/>
  <c r="G25" i="7"/>
  <c r="G26" i="7"/>
  <c r="G27" i="7"/>
  <c r="G28" i="7"/>
  <c r="G29" i="7"/>
  <c r="G31" i="7"/>
  <c r="G32" i="7"/>
  <c r="G33" i="7"/>
  <c r="G34" i="7"/>
  <c r="G35" i="7"/>
  <c r="G36" i="7"/>
  <c r="G37" i="7"/>
  <c r="G40" i="7"/>
  <c r="G41" i="7"/>
  <c r="G42" i="7"/>
  <c r="G43" i="7"/>
  <c r="G44" i="7"/>
  <c r="G45" i="7"/>
  <c r="G46" i="7"/>
  <c r="G51" i="7"/>
  <c r="G4" i="7"/>
  <c r="B33" i="23" l="1"/>
  <c r="I8" i="23"/>
  <c r="E22" i="21"/>
  <c r="F39" i="5"/>
  <c r="F48" i="5" s="1"/>
  <c r="F33" i="23" s="1"/>
  <c r="F25" i="5"/>
  <c r="J7" i="9"/>
  <c r="K7" i="9"/>
  <c r="L7" i="9"/>
  <c r="M7" i="9"/>
  <c r="J6" i="9"/>
  <c r="K6" i="9"/>
  <c r="L6" i="9"/>
  <c r="M6" i="9"/>
  <c r="J5" i="9"/>
  <c r="K5" i="9"/>
  <c r="L5" i="9"/>
  <c r="M5" i="9"/>
  <c r="I7" i="9"/>
  <c r="I6" i="9"/>
  <c r="I5" i="9"/>
  <c r="J24" i="8"/>
  <c r="J23" i="8"/>
  <c r="J22" i="8"/>
  <c r="J6" i="8"/>
  <c r="J5" i="8"/>
  <c r="J13" i="7"/>
  <c r="K13" i="7"/>
  <c r="L13" i="7"/>
  <c r="M13" i="7"/>
  <c r="J12" i="7"/>
  <c r="K12" i="7"/>
  <c r="L12" i="7"/>
  <c r="M12" i="7"/>
  <c r="I13" i="7"/>
  <c r="I12" i="7"/>
  <c r="H13" i="7"/>
  <c r="H12" i="7"/>
  <c r="J8" i="7"/>
  <c r="K8" i="7"/>
  <c r="L8" i="7"/>
  <c r="M8" i="7"/>
  <c r="I8" i="7"/>
  <c r="H8" i="7"/>
  <c r="J4" i="7"/>
  <c r="K4" i="7"/>
  <c r="L4" i="7"/>
  <c r="M4" i="7"/>
  <c r="J3" i="7"/>
  <c r="K3" i="7"/>
  <c r="L3" i="7"/>
  <c r="M3" i="7"/>
  <c r="I4" i="7"/>
  <c r="I3" i="7"/>
  <c r="J2" i="7"/>
  <c r="K2" i="7"/>
  <c r="L2" i="7"/>
  <c r="M2" i="7"/>
  <c r="I2" i="7"/>
  <c r="B45" i="7"/>
  <c r="C45" i="7"/>
  <c r="D45" i="7"/>
  <c r="E45" i="7"/>
  <c r="F45" i="7"/>
  <c r="C51" i="7"/>
  <c r="D51" i="7"/>
  <c r="E51" i="7"/>
  <c r="F51" i="7"/>
  <c r="B51" i="7"/>
  <c r="B7" i="6"/>
  <c r="J2" i="6" s="1"/>
  <c r="C4" i="7"/>
  <c r="B28" i="8"/>
  <c r="B18" i="8"/>
  <c r="B8" i="8"/>
  <c r="J8" i="23" l="1"/>
  <c r="F22" i="21"/>
  <c r="K8" i="23" s="1"/>
  <c r="G48" i="5"/>
  <c r="C3" i="3"/>
  <c r="D3" i="3"/>
  <c r="E3" i="3"/>
  <c r="F3" i="3"/>
  <c r="B3" i="3"/>
  <c r="AE18" i="13"/>
  <c r="AE8" i="13"/>
  <c r="AF8" i="13"/>
  <c r="AC12" i="13"/>
  <c r="AD17" i="13"/>
  <c r="AE17" i="13"/>
  <c r="AF17" i="13"/>
  <c r="AG17" i="13"/>
  <c r="AH17" i="13"/>
  <c r="AI17" i="13"/>
  <c r="AJ17" i="13"/>
  <c r="AK17" i="13"/>
  <c r="AL17" i="13"/>
  <c r="AC17" i="13"/>
  <c r="AD12" i="13"/>
  <c r="AE12" i="13"/>
  <c r="AF12" i="13"/>
  <c r="AG12" i="13"/>
  <c r="AH12" i="13"/>
  <c r="AI12" i="13"/>
  <c r="AJ12" i="13"/>
  <c r="AK12" i="13"/>
  <c r="AL12" i="13"/>
  <c r="AD7" i="13"/>
  <c r="AE7" i="13"/>
  <c r="AF7" i="13"/>
  <c r="AG7" i="13"/>
  <c r="AH7" i="13"/>
  <c r="AI7" i="13"/>
  <c r="AJ7" i="13"/>
  <c r="AK7" i="13"/>
  <c r="AL7" i="13"/>
  <c r="AC7" i="13"/>
  <c r="K52" i="13"/>
  <c r="J52" i="13"/>
  <c r="I52" i="13"/>
  <c r="H52" i="13"/>
  <c r="G52" i="13"/>
  <c r="F52" i="13"/>
  <c r="E52" i="13"/>
  <c r="D52" i="13"/>
  <c r="C52" i="13"/>
  <c r="K51" i="13"/>
  <c r="J51" i="13"/>
  <c r="I51" i="13"/>
  <c r="H51" i="13"/>
  <c r="G51" i="13"/>
  <c r="F51" i="13"/>
  <c r="E51" i="13"/>
  <c r="D51" i="13"/>
  <c r="C51" i="13"/>
  <c r="K50" i="13"/>
  <c r="J50" i="13"/>
  <c r="I50" i="13"/>
  <c r="H50" i="13"/>
  <c r="G50" i="13"/>
  <c r="F50" i="13"/>
  <c r="E50" i="13"/>
  <c r="D50" i="13"/>
  <c r="C50" i="13"/>
  <c r="K49" i="13"/>
  <c r="J49" i="13"/>
  <c r="I49" i="13"/>
  <c r="H49" i="13"/>
  <c r="G49" i="13"/>
  <c r="F49" i="13"/>
  <c r="E49" i="13"/>
  <c r="D49" i="13"/>
  <c r="C49"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14" i="13"/>
  <c r="J14" i="13"/>
  <c r="I14" i="13"/>
  <c r="H14" i="13"/>
  <c r="G14" i="13"/>
  <c r="F14" i="13"/>
  <c r="E14" i="13"/>
  <c r="D14" i="13"/>
  <c r="C14" i="13"/>
  <c r="K13" i="13"/>
  <c r="J13" i="13"/>
  <c r="I13" i="13"/>
  <c r="H13" i="13"/>
  <c r="G13" i="13"/>
  <c r="F13" i="13"/>
  <c r="E13" i="13"/>
  <c r="D13" i="13"/>
  <c r="C13" i="13"/>
  <c r="K12" i="13"/>
  <c r="J12" i="13"/>
  <c r="I12" i="13"/>
  <c r="H12" i="13"/>
  <c r="G12" i="13"/>
  <c r="F12" i="13"/>
  <c r="E12" i="13"/>
  <c r="D12" i="13"/>
  <c r="C12" i="13"/>
  <c r="K11" i="13"/>
  <c r="AL8" i="13" s="1"/>
  <c r="J11" i="13"/>
  <c r="J20" i="13" s="1"/>
  <c r="I11" i="13"/>
  <c r="AJ18" i="13" s="1"/>
  <c r="H11" i="13"/>
  <c r="H20" i="13" s="1"/>
  <c r="G11" i="13"/>
  <c r="G20" i="13" s="1"/>
  <c r="F11" i="13"/>
  <c r="F20" i="13" s="1"/>
  <c r="E11" i="13"/>
  <c r="E20" i="13" s="1"/>
  <c r="D11" i="13"/>
  <c r="D20" i="13" s="1"/>
  <c r="C11" i="13"/>
  <c r="C20" i="13" s="1"/>
  <c r="C39" i="10"/>
  <c r="K15" i="10" s="1"/>
  <c r="D39" i="10"/>
  <c r="L15" i="10" s="1"/>
  <c r="E39" i="10"/>
  <c r="M15" i="10" s="1"/>
  <c r="F39" i="10"/>
  <c r="N15" i="10" s="1"/>
  <c r="B39" i="10"/>
  <c r="C38" i="10"/>
  <c r="D38" i="10"/>
  <c r="E38" i="10"/>
  <c r="F38" i="10"/>
  <c r="F4" i="10" s="1"/>
  <c r="N3" i="10" s="1"/>
  <c r="B38" i="10"/>
  <c r="B4" i="10" s="1"/>
  <c r="J3" i="10" s="1"/>
  <c r="L20" i="10"/>
  <c r="J26" i="10"/>
  <c r="K26" i="10"/>
  <c r="L26" i="10"/>
  <c r="M26" i="10"/>
  <c r="N26" i="10"/>
  <c r="N25" i="10"/>
  <c r="K25" i="10"/>
  <c r="L25" i="10"/>
  <c r="M25" i="10"/>
  <c r="J25" i="10"/>
  <c r="K28" i="10"/>
  <c r="L28" i="10"/>
  <c r="M28" i="10"/>
  <c r="N28" i="10"/>
  <c r="J28" i="10"/>
  <c r="L27" i="10"/>
  <c r="C40" i="10"/>
  <c r="C41" i="10" s="1"/>
  <c r="D40" i="10"/>
  <c r="D3" i="10" s="1"/>
  <c r="E40" i="10"/>
  <c r="E41" i="10" s="1"/>
  <c r="F40" i="10"/>
  <c r="F41" i="10" s="1"/>
  <c r="B40" i="10"/>
  <c r="B41" i="10" s="1"/>
  <c r="B27" i="10"/>
  <c r="C27" i="10"/>
  <c r="D27" i="10"/>
  <c r="E27" i="10"/>
  <c r="D14" i="10"/>
  <c r="L13" i="10" s="1"/>
  <c r="E14" i="10"/>
  <c r="M9" i="10" s="1"/>
  <c r="F14" i="10"/>
  <c r="N13" i="10" s="1"/>
  <c r="B14" i="10"/>
  <c r="J9" i="10" s="1"/>
  <c r="C14" i="10"/>
  <c r="K13" i="10" s="1"/>
  <c r="D13" i="10"/>
  <c r="D18" i="10" s="1"/>
  <c r="E13" i="10"/>
  <c r="E18" i="10" s="1"/>
  <c r="F13" i="10"/>
  <c r="F18" i="10" s="1"/>
  <c r="B13" i="10"/>
  <c r="B18" i="10" s="1"/>
  <c r="C13" i="10"/>
  <c r="C18" i="10" s="1"/>
  <c r="C12" i="10"/>
  <c r="C17" i="10" s="1"/>
  <c r="D12" i="10"/>
  <c r="D17" i="10" s="1"/>
  <c r="E12" i="10"/>
  <c r="E17" i="10" s="1"/>
  <c r="F12" i="10"/>
  <c r="F17" i="10" s="1"/>
  <c r="B12" i="10"/>
  <c r="B17" i="10" s="1"/>
  <c r="C11" i="10"/>
  <c r="C16" i="10" s="1"/>
  <c r="D11" i="10"/>
  <c r="D16" i="10" s="1"/>
  <c r="E11" i="10"/>
  <c r="E16" i="10" s="1"/>
  <c r="F11" i="10"/>
  <c r="F16" i="10" s="1"/>
  <c r="B11" i="10"/>
  <c r="B16" i="10" s="1"/>
  <c r="J15" i="10"/>
  <c r="E4" i="10"/>
  <c r="M3" i="10" s="1"/>
  <c r="D4" i="10"/>
  <c r="L3" i="10" s="1"/>
  <c r="C4" i="10"/>
  <c r="K3" i="10" s="1"/>
  <c r="B7" i="10"/>
  <c r="F29" i="10"/>
  <c r="N5" i="10" s="1"/>
  <c r="B29" i="10"/>
  <c r="J10" i="10" s="1"/>
  <c r="D29" i="10"/>
  <c r="L5" i="10" s="1"/>
  <c r="E29" i="10"/>
  <c r="M5" i="10" s="1"/>
  <c r="C29" i="10"/>
  <c r="K5" i="10" s="1"/>
  <c r="B6" i="25" l="1"/>
  <c r="B5" i="25"/>
  <c r="C3" i="10"/>
  <c r="B7" i="25"/>
  <c r="AM7" i="13"/>
  <c r="AF13" i="13"/>
  <c r="AL13" i="13"/>
  <c r="AD8" i="13"/>
  <c r="AE13" i="13"/>
  <c r="AD13" i="13"/>
  <c r="AL18" i="13"/>
  <c r="AD18" i="13"/>
  <c r="AF18" i="13"/>
  <c r="AM12" i="13"/>
  <c r="AK13" i="13"/>
  <c r="AJ8" i="13"/>
  <c r="AJ13" i="13"/>
  <c r="AK8" i="13"/>
  <c r="AK18" i="13"/>
  <c r="AI8" i="13"/>
  <c r="AI13" i="13"/>
  <c r="AI18" i="13"/>
  <c r="AH8" i="13"/>
  <c r="AH13" i="13"/>
  <c r="AH18" i="13"/>
  <c r="AG8" i="13"/>
  <c r="AG13" i="13"/>
  <c r="AG18" i="13"/>
  <c r="K20" i="13"/>
  <c r="I20" i="13"/>
  <c r="M21" i="10"/>
  <c r="L21" i="10"/>
  <c r="N21" i="10"/>
  <c r="K21" i="10"/>
  <c r="J5" i="10"/>
  <c r="M4" i="10"/>
  <c r="M6" i="10" s="1"/>
  <c r="L10" i="10"/>
  <c r="K10" i="10"/>
  <c r="J17" i="10"/>
  <c r="M17" i="10"/>
  <c r="L17" i="10"/>
  <c r="L4" i="10"/>
  <c r="L6" i="10" s="1"/>
  <c r="K4" i="10"/>
  <c r="K6" i="10" s="1"/>
  <c r="K17" i="10"/>
  <c r="M10" i="10"/>
  <c r="N16" i="10"/>
  <c r="M16" i="10"/>
  <c r="N10" i="10"/>
  <c r="N17" i="10"/>
  <c r="J13" i="10"/>
  <c r="L16" i="10"/>
  <c r="N9" i="10"/>
  <c r="L9" i="10"/>
  <c r="M13" i="10"/>
  <c r="J4" i="10"/>
  <c r="J6" i="10" s="1"/>
  <c r="K9" i="10"/>
  <c r="J16" i="10"/>
  <c r="K16" i="10"/>
  <c r="N4" i="10"/>
  <c r="N6" i="10" s="1"/>
  <c r="B32" i="10"/>
  <c r="F32" i="10"/>
  <c r="F19" i="10"/>
  <c r="F20" i="10" s="1"/>
  <c r="E32" i="10"/>
  <c r="D32" i="10"/>
  <c r="D41" i="10"/>
  <c r="E19" i="10"/>
  <c r="E20" i="10" s="1"/>
  <c r="D19" i="10"/>
  <c r="D20" i="10" s="1"/>
  <c r="C32" i="10"/>
  <c r="C19" i="10"/>
  <c r="C20" i="10" s="1"/>
  <c r="B19" i="10"/>
  <c r="B20" i="10" s="1"/>
  <c r="C5" i="10"/>
  <c r="C6" i="10" s="1"/>
  <c r="E8" i="10"/>
  <c r="M8" i="10" s="1"/>
  <c r="D8" i="10"/>
  <c r="L8" i="10" s="1"/>
  <c r="E5" i="10"/>
  <c r="E6" i="10" s="1"/>
  <c r="D5" i="10"/>
  <c r="D6" i="10" s="1"/>
  <c r="C8" i="10"/>
  <c r="K8" i="10" s="1"/>
  <c r="B5" i="10"/>
  <c r="B6" i="10" s="1"/>
  <c r="B8" i="10"/>
  <c r="J8" i="10" s="1"/>
  <c r="J11" i="10" s="1"/>
  <c r="E3" i="10"/>
  <c r="B3" i="10"/>
  <c r="J27" i="10" s="1"/>
  <c r="M20" i="10" l="1"/>
  <c r="M27" i="10"/>
  <c r="G7" i="25"/>
  <c r="K22" i="23" s="1"/>
  <c r="D7" i="25"/>
  <c r="H22" i="23" s="1"/>
  <c r="C7" i="25"/>
  <c r="G22" i="23" s="1"/>
  <c r="F7" i="25"/>
  <c r="J22" i="23" s="1"/>
  <c r="E7" i="25"/>
  <c r="I22" i="23" s="1"/>
  <c r="K27" i="10"/>
  <c r="K20" i="10"/>
  <c r="D5" i="25"/>
  <c r="H23" i="23" s="1"/>
  <c r="E5" i="25"/>
  <c r="I23" i="23" s="1"/>
  <c r="G5" i="25"/>
  <c r="K23" i="23" s="1"/>
  <c r="F5" i="25"/>
  <c r="J23" i="23" s="1"/>
  <c r="C5" i="25"/>
  <c r="G23" i="23" s="1"/>
  <c r="C6" i="25"/>
  <c r="G6" i="25"/>
  <c r="F6" i="25"/>
  <c r="E6" i="25"/>
  <c r="D6" i="25"/>
  <c r="AN7" i="13"/>
  <c r="AN12" i="13"/>
  <c r="K11" i="10"/>
  <c r="L11" i="10"/>
  <c r="M11" i="10"/>
  <c r="G10" i="25" l="1"/>
  <c r="K24" i="23"/>
  <c r="K25" i="23" s="1"/>
  <c r="K13" i="23" s="1"/>
  <c r="K14" i="23" s="1"/>
  <c r="G24" i="23"/>
  <c r="G25" i="23" s="1"/>
  <c r="G13" i="23" s="1"/>
  <c r="G14" i="23" s="1"/>
  <c r="C10" i="25"/>
  <c r="H26" i="23"/>
  <c r="H24" i="23"/>
  <c r="H25" i="23" s="1"/>
  <c r="H13" i="23" s="1"/>
  <c r="H14" i="23" s="1"/>
  <c r="D10" i="25"/>
  <c r="K26" i="23"/>
  <c r="I24" i="23"/>
  <c r="I25" i="23" s="1"/>
  <c r="I13" i="23" s="1"/>
  <c r="I14" i="23" s="1"/>
  <c r="E10" i="25"/>
  <c r="F10" i="25"/>
  <c r="J24" i="23"/>
  <c r="J25" i="23" s="1"/>
  <c r="J13" i="23" s="1"/>
  <c r="J14" i="23" s="1"/>
  <c r="AO7" i="13"/>
  <c r="AO12" i="13"/>
  <c r="B22" i="10"/>
  <c r="C22" i="10"/>
  <c r="D22" i="10"/>
  <c r="E22" i="10"/>
  <c r="F22" i="10"/>
  <c r="D34" i="10"/>
  <c r="E34" i="10"/>
  <c r="F34" i="10"/>
  <c r="C34" i="10"/>
  <c r="B34" i="10"/>
  <c r="B31" i="10"/>
  <c r="C31" i="10"/>
  <c r="D31" i="10"/>
  <c r="F31" i="10"/>
  <c r="E31" i="10"/>
  <c r="F27" i="10"/>
  <c r="F8" i="10"/>
  <c r="N8" i="10" s="1"/>
  <c r="N11" i="10" s="1"/>
  <c r="F28" i="10"/>
  <c r="C28" i="10"/>
  <c r="D28" i="10"/>
  <c r="E28" i="10"/>
  <c r="C26" i="10"/>
  <c r="D26" i="10"/>
  <c r="E26" i="10"/>
  <c r="F26" i="10"/>
  <c r="C23" i="10"/>
  <c r="D23" i="10"/>
  <c r="E23" i="10"/>
  <c r="F23" i="10"/>
  <c r="B28" i="10"/>
  <c r="B26" i="10"/>
  <c r="B23" i="10"/>
  <c r="F5" i="10"/>
  <c r="C52" i="1"/>
  <c r="D52" i="1"/>
  <c r="E52" i="1"/>
  <c r="F52" i="1"/>
  <c r="B52" i="1"/>
  <c r="C51" i="1"/>
  <c r="D51" i="1"/>
  <c r="E51" i="1"/>
  <c r="F51" i="1"/>
  <c r="B51" i="1"/>
  <c r="F3" i="10"/>
  <c r="C9" i="10"/>
  <c r="K14" i="10" s="1"/>
  <c r="K18" i="10" s="1"/>
  <c r="D9" i="10"/>
  <c r="L14" i="10" s="1"/>
  <c r="L18" i="10" s="1"/>
  <c r="E9" i="10"/>
  <c r="M14" i="10" s="1"/>
  <c r="M18" i="10" s="1"/>
  <c r="F9" i="10"/>
  <c r="N14" i="10" s="1"/>
  <c r="N18" i="10" s="1"/>
  <c r="B9" i="10"/>
  <c r="J14" i="10" s="1"/>
  <c r="J18" i="10" s="1"/>
  <c r="C7" i="10"/>
  <c r="D7" i="10"/>
  <c r="E7" i="10"/>
  <c r="F7" i="10"/>
  <c r="F48" i="7"/>
  <c r="E48" i="7"/>
  <c r="D48" i="7"/>
  <c r="C48" i="7"/>
  <c r="B48" i="7"/>
  <c r="F5" i="9"/>
  <c r="F6" i="9"/>
  <c r="F7" i="9"/>
  <c r="F8" i="9"/>
  <c r="F9" i="9"/>
  <c r="F10" i="9"/>
  <c r="F12" i="9"/>
  <c r="F13" i="9"/>
  <c r="F14" i="9"/>
  <c r="F15" i="9"/>
  <c r="F16" i="9"/>
  <c r="F17" i="9"/>
  <c r="F18" i="9"/>
  <c r="F19" i="9"/>
  <c r="F20" i="9"/>
  <c r="F24" i="9"/>
  <c r="F25" i="9"/>
  <c r="F26" i="9"/>
  <c r="F27" i="9"/>
  <c r="F28" i="9"/>
  <c r="F29" i="9"/>
  <c r="F31" i="9"/>
  <c r="F32" i="9"/>
  <c r="F33" i="9"/>
  <c r="F34" i="9"/>
  <c r="F35" i="9"/>
  <c r="F36" i="9"/>
  <c r="F37" i="9"/>
  <c r="F39" i="9"/>
  <c r="F40" i="9"/>
  <c r="F41" i="9"/>
  <c r="F42" i="9"/>
  <c r="F43" i="9"/>
  <c r="F44" i="9"/>
  <c r="F45" i="9"/>
  <c r="F46" i="9"/>
  <c r="E5" i="9"/>
  <c r="E6" i="9"/>
  <c r="E7" i="9"/>
  <c r="E8" i="9"/>
  <c r="E9" i="9"/>
  <c r="E10" i="9"/>
  <c r="E12" i="9"/>
  <c r="E13" i="9"/>
  <c r="E14" i="9"/>
  <c r="E15" i="9"/>
  <c r="E16" i="9"/>
  <c r="E17" i="9"/>
  <c r="E18" i="9"/>
  <c r="E19" i="9"/>
  <c r="E20" i="9"/>
  <c r="E24" i="9"/>
  <c r="E25" i="9"/>
  <c r="E26" i="9"/>
  <c r="E27" i="9"/>
  <c r="E28" i="9"/>
  <c r="E29" i="9"/>
  <c r="E31" i="9"/>
  <c r="E32" i="9"/>
  <c r="E33" i="9"/>
  <c r="E34" i="9"/>
  <c r="E35" i="9"/>
  <c r="E36" i="9"/>
  <c r="E37" i="9"/>
  <c r="E39" i="9"/>
  <c r="E40" i="9"/>
  <c r="E41" i="9"/>
  <c r="E42" i="9"/>
  <c r="E43" i="9"/>
  <c r="E44" i="9"/>
  <c r="E45" i="9"/>
  <c r="E46" i="9"/>
  <c r="D5" i="9"/>
  <c r="D6" i="9"/>
  <c r="D7" i="9"/>
  <c r="D8" i="9"/>
  <c r="D9" i="9"/>
  <c r="D10" i="9"/>
  <c r="D12" i="9"/>
  <c r="D13" i="9"/>
  <c r="D14" i="9"/>
  <c r="D15" i="9"/>
  <c r="D16" i="9"/>
  <c r="D17" i="9"/>
  <c r="D18" i="9"/>
  <c r="D19" i="9"/>
  <c r="D20" i="9"/>
  <c r="D24" i="9"/>
  <c r="D25" i="9"/>
  <c r="D26" i="9"/>
  <c r="D27" i="9"/>
  <c r="D28" i="9"/>
  <c r="D29" i="9"/>
  <c r="D31" i="9"/>
  <c r="D32" i="9"/>
  <c r="D33" i="9"/>
  <c r="D34" i="9"/>
  <c r="D35" i="9"/>
  <c r="D36" i="9"/>
  <c r="D37" i="9"/>
  <c r="D39" i="9"/>
  <c r="D40" i="9"/>
  <c r="D41" i="9"/>
  <c r="D42" i="9"/>
  <c r="D43" i="9"/>
  <c r="D44" i="9"/>
  <c r="D45" i="9"/>
  <c r="D46" i="9"/>
  <c r="F4" i="9"/>
  <c r="E4" i="9"/>
  <c r="D4" i="9"/>
  <c r="C5" i="9"/>
  <c r="C6" i="9"/>
  <c r="C7" i="9"/>
  <c r="C8" i="9"/>
  <c r="C9" i="9"/>
  <c r="C10" i="9"/>
  <c r="C12" i="9"/>
  <c r="C13" i="9"/>
  <c r="C14" i="9"/>
  <c r="C15" i="9"/>
  <c r="C16" i="9"/>
  <c r="C17" i="9"/>
  <c r="C18" i="9"/>
  <c r="C19" i="9"/>
  <c r="C20" i="9"/>
  <c r="C24" i="9"/>
  <c r="C25" i="9"/>
  <c r="C26" i="9"/>
  <c r="C27" i="9"/>
  <c r="C28" i="9"/>
  <c r="C29" i="9"/>
  <c r="C31" i="9"/>
  <c r="C32" i="9"/>
  <c r="C33" i="9"/>
  <c r="C34" i="9"/>
  <c r="C35" i="9"/>
  <c r="C36" i="9"/>
  <c r="C37" i="9"/>
  <c r="C39" i="9"/>
  <c r="C40" i="9"/>
  <c r="C41" i="9"/>
  <c r="C42" i="9"/>
  <c r="C43" i="9"/>
  <c r="C44" i="9"/>
  <c r="C45" i="9"/>
  <c r="C46" i="9"/>
  <c r="C4" i="9"/>
  <c r="F13" i="8"/>
  <c r="E13" i="8"/>
  <c r="F6" i="8"/>
  <c r="F7" i="8"/>
  <c r="F8" i="8"/>
  <c r="F11" i="8"/>
  <c r="N23" i="8" s="1"/>
  <c r="F12" i="8"/>
  <c r="N24" i="8" s="1"/>
  <c r="F14" i="8"/>
  <c r="F17" i="8"/>
  <c r="N6" i="8" s="1"/>
  <c r="F18" i="8"/>
  <c r="F21" i="8"/>
  <c r="F22" i="8"/>
  <c r="F23" i="8"/>
  <c r="F27" i="8"/>
  <c r="F28" i="8"/>
  <c r="F29" i="8"/>
  <c r="F32" i="8"/>
  <c r="F41" i="8"/>
  <c r="E6" i="8"/>
  <c r="E7" i="8"/>
  <c r="E8" i="8"/>
  <c r="E11" i="8"/>
  <c r="M23" i="8" s="1"/>
  <c r="E12" i="8"/>
  <c r="M24" i="8" s="1"/>
  <c r="E14" i="8"/>
  <c r="E17" i="8"/>
  <c r="M6" i="8" s="1"/>
  <c r="E18" i="8"/>
  <c r="E21" i="8"/>
  <c r="E22" i="8"/>
  <c r="E23" i="8"/>
  <c r="E27" i="8"/>
  <c r="E28" i="8"/>
  <c r="E29" i="8"/>
  <c r="E32" i="8"/>
  <c r="E41" i="8"/>
  <c r="F3" i="8"/>
  <c r="E3" i="8"/>
  <c r="D13" i="8"/>
  <c r="C13" i="8"/>
  <c r="D6" i="8"/>
  <c r="D7" i="8"/>
  <c r="D8" i="8"/>
  <c r="D11" i="8"/>
  <c r="L23" i="8" s="1"/>
  <c r="D12" i="8"/>
  <c r="L24" i="8" s="1"/>
  <c r="D14" i="8"/>
  <c r="D17" i="8"/>
  <c r="L6" i="8" s="1"/>
  <c r="D18" i="8"/>
  <c r="D21" i="8"/>
  <c r="D22" i="8"/>
  <c r="D23" i="8"/>
  <c r="D27" i="8"/>
  <c r="D28" i="8"/>
  <c r="D29" i="8"/>
  <c r="D32" i="8"/>
  <c r="D41" i="8"/>
  <c r="D3" i="8"/>
  <c r="C3" i="8"/>
  <c r="C6" i="8"/>
  <c r="C7" i="8"/>
  <c r="C8" i="8"/>
  <c r="C11" i="8"/>
  <c r="K23" i="8" s="1"/>
  <c r="C12" i="8"/>
  <c r="K24" i="8" s="1"/>
  <c r="C14" i="8"/>
  <c r="C17" i="8"/>
  <c r="K6" i="8" s="1"/>
  <c r="C18" i="8"/>
  <c r="C21" i="8"/>
  <c r="C22" i="8"/>
  <c r="C23" i="8"/>
  <c r="C27" i="8"/>
  <c r="C28" i="8"/>
  <c r="C29" i="8"/>
  <c r="C32" i="8"/>
  <c r="C41" i="8"/>
  <c r="F5" i="7"/>
  <c r="F6" i="7"/>
  <c r="F7" i="7"/>
  <c r="F8" i="7"/>
  <c r="F9" i="7"/>
  <c r="F10" i="7"/>
  <c r="F12" i="7"/>
  <c r="F13" i="7"/>
  <c r="F14" i="7"/>
  <c r="F15" i="7"/>
  <c r="F16" i="7"/>
  <c r="F17" i="7"/>
  <c r="F18" i="7"/>
  <c r="F19" i="7"/>
  <c r="F20" i="7"/>
  <c r="F24" i="7"/>
  <c r="F25" i="7"/>
  <c r="F26" i="7"/>
  <c r="F27" i="7"/>
  <c r="F28" i="7"/>
  <c r="F29" i="7"/>
  <c r="F31" i="7"/>
  <c r="F32" i="7"/>
  <c r="F33" i="7"/>
  <c r="F34" i="7"/>
  <c r="F35" i="7"/>
  <c r="F36" i="7"/>
  <c r="F37" i="7"/>
  <c r="F40" i="7"/>
  <c r="F41" i="7"/>
  <c r="F42" i="7"/>
  <c r="F43" i="7"/>
  <c r="F44" i="7"/>
  <c r="F46" i="7"/>
  <c r="F4" i="7"/>
  <c r="E5" i="7"/>
  <c r="E6" i="7"/>
  <c r="E7" i="7"/>
  <c r="E8" i="7"/>
  <c r="E9" i="7"/>
  <c r="E10" i="7"/>
  <c r="E12" i="7"/>
  <c r="E13" i="7"/>
  <c r="E14" i="7"/>
  <c r="E15" i="7"/>
  <c r="E16" i="7"/>
  <c r="E17" i="7"/>
  <c r="E18" i="7"/>
  <c r="E19" i="7"/>
  <c r="E20" i="7"/>
  <c r="E24" i="7"/>
  <c r="E25" i="7"/>
  <c r="E26" i="7"/>
  <c r="E27" i="7"/>
  <c r="E28" i="7"/>
  <c r="E29" i="7"/>
  <c r="E31" i="7"/>
  <c r="E32" i="7"/>
  <c r="E33" i="7"/>
  <c r="E34" i="7"/>
  <c r="E35" i="7"/>
  <c r="E36" i="7"/>
  <c r="E37" i="7"/>
  <c r="E40" i="7"/>
  <c r="E41" i="7"/>
  <c r="E42" i="7"/>
  <c r="E43" i="7"/>
  <c r="E44" i="7"/>
  <c r="E46" i="7"/>
  <c r="E4" i="7"/>
  <c r="D5" i="7"/>
  <c r="D6" i="7"/>
  <c r="D7" i="7"/>
  <c r="D8" i="7"/>
  <c r="D9" i="7"/>
  <c r="D10" i="7"/>
  <c r="D12" i="7"/>
  <c r="D13" i="7"/>
  <c r="D14" i="7"/>
  <c r="D15" i="7"/>
  <c r="D16" i="7"/>
  <c r="D17" i="7"/>
  <c r="D18" i="7"/>
  <c r="D19" i="7"/>
  <c r="D20" i="7"/>
  <c r="D24" i="7"/>
  <c r="D25" i="7"/>
  <c r="D26" i="7"/>
  <c r="D27" i="7"/>
  <c r="D28" i="7"/>
  <c r="D29" i="7"/>
  <c r="D31" i="7"/>
  <c r="D32" i="7"/>
  <c r="D33" i="7"/>
  <c r="D34" i="7"/>
  <c r="D35" i="7"/>
  <c r="D36" i="7"/>
  <c r="D37" i="7"/>
  <c r="D40" i="7"/>
  <c r="D41" i="7"/>
  <c r="D42" i="7"/>
  <c r="D43" i="7"/>
  <c r="D44" i="7"/>
  <c r="D46" i="7"/>
  <c r="D4" i="7"/>
  <c r="C5" i="7"/>
  <c r="C6" i="7"/>
  <c r="C7" i="7"/>
  <c r="C8" i="7"/>
  <c r="C9" i="7"/>
  <c r="C10" i="7"/>
  <c r="C12" i="7"/>
  <c r="C13" i="7"/>
  <c r="C14" i="7"/>
  <c r="C15" i="7"/>
  <c r="C16" i="7"/>
  <c r="C17" i="7"/>
  <c r="C18" i="7"/>
  <c r="C19" i="7"/>
  <c r="C20" i="7"/>
  <c r="C24" i="7"/>
  <c r="C25" i="7"/>
  <c r="C26" i="7"/>
  <c r="C27" i="7"/>
  <c r="C28" i="7"/>
  <c r="C29" i="7"/>
  <c r="C31" i="7"/>
  <c r="C32" i="7"/>
  <c r="C33" i="7"/>
  <c r="C34" i="7"/>
  <c r="C35" i="7"/>
  <c r="C36" i="7"/>
  <c r="C37" i="7"/>
  <c r="C40" i="7"/>
  <c r="C41" i="7"/>
  <c r="C42" i="7"/>
  <c r="C43" i="7"/>
  <c r="C44" i="7"/>
  <c r="C46" i="7"/>
  <c r="B5" i="7"/>
  <c r="B6" i="7"/>
  <c r="B7" i="7"/>
  <c r="B8" i="7"/>
  <c r="B9" i="7"/>
  <c r="B10" i="7"/>
  <c r="B12" i="7"/>
  <c r="B13" i="7"/>
  <c r="B14" i="7"/>
  <c r="B15" i="7"/>
  <c r="G15" i="7" s="1"/>
  <c r="B16" i="7"/>
  <c r="B17" i="7"/>
  <c r="B18" i="7"/>
  <c r="B19" i="7"/>
  <c r="B20" i="7"/>
  <c r="B24" i="7"/>
  <c r="B25" i="7"/>
  <c r="B26" i="7"/>
  <c r="B27" i="7"/>
  <c r="B28" i="7"/>
  <c r="B29" i="7"/>
  <c r="B31" i="7"/>
  <c r="B32" i="7"/>
  <c r="B33" i="7"/>
  <c r="B34" i="7"/>
  <c r="B35" i="7"/>
  <c r="B36" i="7"/>
  <c r="B37" i="7"/>
  <c r="B40" i="7"/>
  <c r="B41" i="7"/>
  <c r="B42" i="7"/>
  <c r="B43" i="7"/>
  <c r="B44" i="7"/>
  <c r="B46" i="7"/>
  <c r="B4" i="7"/>
  <c r="B3" i="6"/>
  <c r="F6" i="6"/>
  <c r="F4" i="21" s="1"/>
  <c r="F7" i="6"/>
  <c r="N2" i="6" s="1"/>
  <c r="F11" i="6"/>
  <c r="F12" i="6"/>
  <c r="F5" i="21" s="1"/>
  <c r="F13" i="6"/>
  <c r="F6" i="21" s="1"/>
  <c r="F14" i="6"/>
  <c r="F7" i="21" s="1"/>
  <c r="F17" i="6"/>
  <c r="F21" i="6"/>
  <c r="F22" i="6"/>
  <c r="F23" i="6"/>
  <c r="F27" i="6"/>
  <c r="F29" i="6"/>
  <c r="F32" i="6"/>
  <c r="N3" i="6" s="1"/>
  <c r="F36" i="6"/>
  <c r="F37" i="6"/>
  <c r="F3" i="6"/>
  <c r="E6" i="6"/>
  <c r="E4" i="21" s="1"/>
  <c r="E7" i="6"/>
  <c r="M2" i="6" s="1"/>
  <c r="E11" i="6"/>
  <c r="E12" i="6"/>
  <c r="E5" i="21" s="1"/>
  <c r="E13" i="6"/>
  <c r="E6" i="21" s="1"/>
  <c r="E14" i="6"/>
  <c r="E7" i="21" s="1"/>
  <c r="E17" i="6"/>
  <c r="E21" i="6"/>
  <c r="E22" i="6"/>
  <c r="E23" i="6"/>
  <c r="E27" i="6"/>
  <c r="E29" i="6"/>
  <c r="E32" i="6"/>
  <c r="M3" i="6" s="1"/>
  <c r="E36" i="6"/>
  <c r="E37" i="6"/>
  <c r="E3" i="6"/>
  <c r="D6" i="6"/>
  <c r="D4" i="21" s="1"/>
  <c r="D7" i="6"/>
  <c r="L2" i="6" s="1"/>
  <c r="D11" i="6"/>
  <c r="D12" i="6"/>
  <c r="D5" i="21" s="1"/>
  <c r="D13" i="6"/>
  <c r="D6" i="21" s="1"/>
  <c r="D14" i="6"/>
  <c r="D7" i="21" s="1"/>
  <c r="D17" i="6"/>
  <c r="D21" i="6"/>
  <c r="D22" i="6"/>
  <c r="D23" i="6"/>
  <c r="D27" i="6"/>
  <c r="D29" i="6"/>
  <c r="D32" i="6"/>
  <c r="L3" i="6" s="1"/>
  <c r="D36" i="6"/>
  <c r="D37" i="6"/>
  <c r="D3" i="6"/>
  <c r="C6" i="6"/>
  <c r="C4" i="21" s="1"/>
  <c r="C7" i="6"/>
  <c r="C11" i="6"/>
  <c r="C12" i="6"/>
  <c r="C5" i="21" s="1"/>
  <c r="C13" i="6"/>
  <c r="C6" i="21" s="1"/>
  <c r="C14" i="6"/>
  <c r="C7" i="21" s="1"/>
  <c r="C17" i="6"/>
  <c r="C21" i="6"/>
  <c r="C22" i="6"/>
  <c r="C23" i="6"/>
  <c r="C27" i="6"/>
  <c r="C29" i="6"/>
  <c r="C32" i="6"/>
  <c r="K3" i="6" s="1"/>
  <c r="C36" i="6"/>
  <c r="C37" i="6"/>
  <c r="C3" i="6"/>
  <c r="B6" i="6"/>
  <c r="B11" i="6"/>
  <c r="B12" i="6"/>
  <c r="B13" i="6"/>
  <c r="B14" i="6"/>
  <c r="B17" i="6"/>
  <c r="B21" i="6"/>
  <c r="B22" i="6"/>
  <c r="B23" i="6"/>
  <c r="B27" i="6"/>
  <c r="B29" i="6"/>
  <c r="B32" i="6"/>
  <c r="B36" i="6"/>
  <c r="B37" i="6"/>
  <c r="G37" i="6" l="1"/>
  <c r="G36" i="6"/>
  <c r="G29" i="6"/>
  <c r="G17" i="6"/>
  <c r="AJ26" i="13" s="1"/>
  <c r="G27" i="6"/>
  <c r="G11" i="6"/>
  <c r="K2" i="6"/>
  <c r="G7" i="6"/>
  <c r="AM26" i="13"/>
  <c r="AO26" i="13"/>
  <c r="AP26" i="13"/>
  <c r="AQ26" i="13"/>
  <c r="AK26" i="13"/>
  <c r="M5" i="8"/>
  <c r="M22" i="8"/>
  <c r="H27" i="23"/>
  <c r="H10" i="23" s="1"/>
  <c r="B7" i="21"/>
  <c r="G14" i="6"/>
  <c r="G7" i="21" s="1"/>
  <c r="G32" i="6"/>
  <c r="J3" i="6"/>
  <c r="B6" i="21"/>
  <c r="G13" i="6"/>
  <c r="G6" i="21" s="1"/>
  <c r="N5" i="8"/>
  <c r="N22" i="8"/>
  <c r="J26" i="23"/>
  <c r="N20" i="10"/>
  <c r="N27" i="10"/>
  <c r="B5" i="21"/>
  <c r="G12" i="6"/>
  <c r="G5" i="21" s="1"/>
  <c r="G23" i="6"/>
  <c r="B4" i="21"/>
  <c r="G6" i="6"/>
  <c r="G4" i="21" s="1"/>
  <c r="K5" i="8"/>
  <c r="K22" i="8"/>
  <c r="I26" i="23"/>
  <c r="I27" i="23" s="1"/>
  <c r="I10" i="23" s="1"/>
  <c r="G26" i="23"/>
  <c r="G27" i="23" s="1"/>
  <c r="G10" i="23" s="1"/>
  <c r="G3" i="6"/>
  <c r="L5" i="8"/>
  <c r="L22" i="8"/>
  <c r="K27" i="23"/>
  <c r="K10" i="23" s="1"/>
  <c r="G22" i="6"/>
  <c r="G21" i="6"/>
  <c r="G48" i="7"/>
  <c r="AP12" i="13"/>
  <c r="AP7" i="13"/>
  <c r="C50" i="1"/>
  <c r="C50" i="7" s="1"/>
  <c r="D50" i="1"/>
  <c r="D50" i="7" s="1"/>
  <c r="E50" i="1"/>
  <c r="E50" i="7" s="1"/>
  <c r="F50" i="1"/>
  <c r="B50" i="1"/>
  <c r="F49" i="1"/>
  <c r="E49" i="1"/>
  <c r="D49" i="1"/>
  <c r="C49" i="1"/>
  <c r="B41" i="2"/>
  <c r="G41" i="2" s="1"/>
  <c r="C41" i="2"/>
  <c r="D41" i="2"/>
  <c r="E41" i="2"/>
  <c r="F41" i="2"/>
  <c r="AL26" i="13" l="1"/>
  <c r="AI26" i="13"/>
  <c r="AN26" i="13"/>
  <c r="B16" i="21"/>
  <c r="E16" i="21"/>
  <c r="D16" i="21"/>
  <c r="C16" i="21"/>
  <c r="F16" i="21"/>
  <c r="C42" i="2"/>
  <c r="C32" i="23" s="1"/>
  <c r="C35" i="23" s="1"/>
  <c r="D42" i="2"/>
  <c r="D32" i="23" s="1"/>
  <c r="D35" i="23" s="1"/>
  <c r="E42" i="2"/>
  <c r="E32" i="23" s="1"/>
  <c r="E35" i="23" s="1"/>
  <c r="F42" i="2"/>
  <c r="F32" i="23" s="1"/>
  <c r="F35" i="23" s="1"/>
  <c r="B42" i="2"/>
  <c r="B32" i="23" s="1"/>
  <c r="B35" i="23" s="1"/>
  <c r="D18" i="21"/>
  <c r="B18" i="21"/>
  <c r="F18" i="21"/>
  <c r="C18" i="21"/>
  <c r="E18" i="21"/>
  <c r="C17" i="21"/>
  <c r="F17" i="21"/>
  <c r="B17" i="21"/>
  <c r="D17" i="21"/>
  <c r="E17" i="21"/>
  <c r="J27" i="23"/>
  <c r="J10" i="23" s="1"/>
  <c r="F50" i="7"/>
  <c r="F6" i="10"/>
  <c r="B50" i="7"/>
  <c r="G50" i="7" s="1"/>
  <c r="AQ12" i="13"/>
  <c r="AQ7" i="13"/>
  <c r="F41" i="6"/>
  <c r="B41" i="6"/>
  <c r="C41" i="6" l="1"/>
  <c r="D41" i="6"/>
  <c r="D19" i="21"/>
  <c r="D20" i="21" s="1"/>
  <c r="E41" i="6"/>
  <c r="E19" i="21"/>
  <c r="E20" i="21" s="1"/>
  <c r="F19" i="21"/>
  <c r="F20" i="21" s="1"/>
  <c r="C19" i="21"/>
  <c r="C20" i="21" s="1"/>
  <c r="B19" i="21"/>
  <c r="B20" i="21" s="1"/>
  <c r="AM17" i="13"/>
  <c r="G41" i="6" l="1"/>
  <c r="E23" i="21"/>
  <c r="E21" i="21"/>
  <c r="B21" i="21"/>
  <c r="B23" i="21"/>
  <c r="C21" i="21"/>
  <c r="C23" i="21"/>
  <c r="C24" i="21" s="1"/>
  <c r="C25" i="21" s="1"/>
  <c r="F21" i="21"/>
  <c r="F23" i="21"/>
  <c r="D21" i="21"/>
  <c r="D23" i="21"/>
  <c r="D24" i="21" s="1"/>
  <c r="D25" i="21" s="1"/>
  <c r="AN17" i="13"/>
  <c r="F24" i="21" l="1"/>
  <c r="F25" i="21" s="1"/>
  <c r="B24" i="21"/>
  <c r="B25" i="21"/>
  <c r="H6" i="23"/>
  <c r="H11" i="23" s="1"/>
  <c r="H12" i="23" s="1"/>
  <c r="C26" i="21"/>
  <c r="I6" i="23"/>
  <c r="I11" i="23" s="1"/>
  <c r="I12" i="23" s="1"/>
  <c r="D26" i="21"/>
  <c r="E24" i="21"/>
  <c r="E25" i="21" s="1"/>
  <c r="AO17" i="13"/>
  <c r="G6" i="23" l="1"/>
  <c r="G11" i="23" s="1"/>
  <c r="G12" i="23" s="1"/>
  <c r="B26" i="21"/>
  <c r="E26" i="21"/>
  <c r="J6" i="23"/>
  <c r="J11" i="23" s="1"/>
  <c r="J12" i="23" s="1"/>
  <c r="K6" i="23"/>
  <c r="K11" i="23" s="1"/>
  <c r="K12" i="23" s="1"/>
  <c r="L12" i="23" s="1"/>
  <c r="F26" i="21"/>
  <c r="AP17" i="13"/>
  <c r="G15" i="23" l="1"/>
  <c r="G16" i="23" s="1"/>
  <c r="AQ17"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Veronika</author>
  </authors>
  <commentList>
    <comment ref="A14" authorId="0" shapeId="0" xr:uid="{F4C7B571-11F4-0441-A1BC-ED330A178AD9}">
      <text>
        <r>
          <rPr>
            <sz val="9"/>
            <color rgb="FF000000"/>
            <rFont val="Tahoma"/>
            <family val="2"/>
            <charset val="238"/>
          </rPr>
          <t>It is discounted by average interest rate on savings (and we assume a decrease in this rate through time, base on central bank forecast)</t>
        </r>
      </text>
    </comment>
  </commentList>
</comments>
</file>

<file path=xl/sharedStrings.xml><?xml version="1.0" encoding="utf-8"?>
<sst xmlns="http://schemas.openxmlformats.org/spreadsheetml/2006/main" count="637" uniqueCount="374">
  <si>
    <t>ASSETS</t>
  </si>
  <si>
    <t>Current Assets:</t>
  </si>
  <si>
    <t>Cash and Cash Equivalents</t>
  </si>
  <si>
    <t>Marketable Securities (Short Term)</t>
  </si>
  <si>
    <t>Cash, Cash Equivalents and Investments</t>
  </si>
  <si>
    <t>Accounts Receivable, Net</t>
  </si>
  <si>
    <t>Inventory</t>
  </si>
  <si>
    <t>Prepaid Expenses and Other Current Assets</t>
  </si>
  <si>
    <t>Total Current Assets</t>
  </si>
  <si>
    <t>Non-Current Assets:</t>
  </si>
  <si>
    <t>Property, Plant and Equipment, Net</t>
  </si>
  <si>
    <t>Goodwill</t>
  </si>
  <si>
    <t>Intangible Assets, Net</t>
  </si>
  <si>
    <t>Goodwill and Intangible Assets, Net</t>
  </si>
  <si>
    <t>Long-Term Investments</t>
  </si>
  <si>
    <t>Deferred Tax Assets (Non-Current)</t>
  </si>
  <si>
    <t>Other Non-Current Assets</t>
  </si>
  <si>
    <t>Total Non-Current Assets</t>
  </si>
  <si>
    <t>Total Assets</t>
  </si>
  <si>
    <t>LIABILITIES AND EQUITY</t>
  </si>
  <si>
    <t>Current Liabilities:</t>
  </si>
  <si>
    <t>Accounts Payable</t>
  </si>
  <si>
    <t>Accrued Liabilities and Other Current Liabilities</t>
  </si>
  <si>
    <t>Deferred Revenue (Current)</t>
  </si>
  <si>
    <t>Short-Term Debt</t>
  </si>
  <si>
    <t>Income Taxes Payable</t>
  </si>
  <si>
    <t>Total Current Liabilities</t>
  </si>
  <si>
    <t>Non-Current Liabilities:</t>
  </si>
  <si>
    <t>Long-Term Debt</t>
  </si>
  <si>
    <t>Finance Lease Liabilities (Total)</t>
  </si>
  <si>
    <t>Deferred Revenue (Non-Current)</t>
  </si>
  <si>
    <t>Deferred Tax Liabilities (Non-Current)</t>
  </si>
  <si>
    <t>Other Non-Current Liabilities</t>
  </si>
  <si>
    <t>Total Non-Current Liabilities</t>
  </si>
  <si>
    <t>Total Liabilities</t>
  </si>
  <si>
    <t>Stockholders' Equity:</t>
  </si>
  <si>
    <t>Common Stock</t>
  </si>
  <si>
    <t>Retained Earnings (Accumulated Deficit)</t>
  </si>
  <si>
    <t>Accumulated Other Comprehensive Income (Loss)</t>
  </si>
  <si>
    <t>Other Stockholders Equity</t>
  </si>
  <si>
    <t>Total Stockholders' Equity</t>
  </si>
  <si>
    <t>Noncontrolling Interests</t>
  </si>
  <si>
    <t>Total Equity (incl. Noncontrolling)</t>
  </si>
  <si>
    <t>Total Liabilities and Equity</t>
  </si>
  <si>
    <t>REVENUES</t>
  </si>
  <si>
    <t>Total Revenues</t>
  </si>
  <si>
    <t>COST OF REVENUES</t>
  </si>
  <si>
    <t>Total Cost of Revenues</t>
  </si>
  <si>
    <t>Gross Profit</t>
  </si>
  <si>
    <t>Gross Margin</t>
  </si>
  <si>
    <t>OPERATING EXPENSES</t>
  </si>
  <si>
    <t>Research and Development</t>
  </si>
  <si>
    <t>Selling, General and Administrative</t>
  </si>
  <si>
    <t>Other Operating Expenses</t>
  </si>
  <si>
    <t>Total Operating Expenses</t>
  </si>
  <si>
    <t>OPERATING INCOME (LOSS)</t>
  </si>
  <si>
    <t>Income from Operations (EBIT)</t>
  </si>
  <si>
    <t>Operating Margin</t>
  </si>
  <si>
    <t>NON-OPERATING INCOME (EXPENSE)</t>
  </si>
  <si>
    <t>Interest Income</t>
  </si>
  <si>
    <t>Interest Expense</t>
  </si>
  <si>
    <t>Other Income (Expense), Net</t>
  </si>
  <si>
    <t>Total Other Income Expenses Net</t>
  </si>
  <si>
    <t>INCOME (LOSS) BEFORE TAXES</t>
  </si>
  <si>
    <t>Income Before Income Taxes (EBT)</t>
  </si>
  <si>
    <t>Pretax Margin</t>
  </si>
  <si>
    <t>Provision for Income Taxes</t>
  </si>
  <si>
    <t>NET INCOME (LOSS)</t>
  </si>
  <si>
    <t>Net Income</t>
  </si>
  <si>
    <t>Net Profit Margin</t>
  </si>
  <si>
    <t>EARNINGS PER SHARE (EPS)</t>
  </si>
  <si>
    <t>Weighted Avg Shares Outstanding (Basic)</t>
  </si>
  <si>
    <t>Weighted Avg Shares Outstanding (Diluted)</t>
  </si>
  <si>
    <t>EPS Basic</t>
  </si>
  <si>
    <t>EPS Diluted</t>
  </si>
  <si>
    <t>OPERATING ACTIVITIES</t>
  </si>
  <si>
    <t>Adjustments to Reconcile Net Income:</t>
  </si>
  <si>
    <t>Changes in Operating Assets &amp; Liabilities:</t>
  </si>
  <si>
    <t>Net Cash from Operating Activities</t>
  </si>
  <si>
    <t>INVESTING ACTIVITIES</t>
  </si>
  <si>
    <t>Net Cash used in Investing Activities</t>
  </si>
  <si>
    <t>FINANCING ACTIVITIES</t>
  </si>
  <si>
    <t>Net Cash from Financing Activities</t>
  </si>
  <si>
    <t>SUPPLEMENTAL</t>
  </si>
  <si>
    <t>Current Ratio</t>
  </si>
  <si>
    <t>Cash Ratio</t>
  </si>
  <si>
    <t>Rf = 4.53%</t>
  </si>
  <si>
    <t>ERP = 1.76%</t>
  </si>
  <si>
    <t>EBIT_adjusted</t>
  </si>
  <si>
    <t>Effective Tax Rate (ETR)</t>
  </si>
  <si>
    <t>NOTE: Used avg. ETR (16.3%) for 2020-22 &amp; 2024, excluding volatile -50.1% rate in 2023 (due to large tax benefit/DTA items) to normalize historical NOPAT calculation.</t>
  </si>
  <si>
    <t>NOPAT</t>
  </si>
  <si>
    <t>Op_NWC</t>
  </si>
  <si>
    <t>WCInv</t>
  </si>
  <si>
    <t>N/A</t>
  </si>
  <si>
    <t>OP_IC</t>
  </si>
  <si>
    <t>Total Debt</t>
  </si>
  <si>
    <t>Capital Employed</t>
  </si>
  <si>
    <t>Inventory Turnover</t>
  </si>
  <si>
    <t>LIQUIDITY RATIOS</t>
  </si>
  <si>
    <t>ACTIVITY RATIOS</t>
  </si>
  <si>
    <t>PROFITABILITY RATIOS</t>
  </si>
  <si>
    <t>SOLVENCY RATIOS</t>
  </si>
  <si>
    <t xml:space="preserve">Financial Leverage </t>
  </si>
  <si>
    <t xml:space="preserve">Interest Coverage Ratio (TIE) </t>
  </si>
  <si>
    <t>Net Profit Margin (ROS with EAT):</t>
  </si>
  <si>
    <t>Long-term Debt to Assets Ratio</t>
  </si>
  <si>
    <t>Cash Flow to Debt Ratio</t>
  </si>
  <si>
    <t>Operating Cycle</t>
  </si>
  <si>
    <t>Net Operating Cycle</t>
  </si>
  <si>
    <t>Net Working Capital</t>
  </si>
  <si>
    <t>DuPont Analysis</t>
  </si>
  <si>
    <t>ROA</t>
  </si>
  <si>
    <t>ROE</t>
  </si>
  <si>
    <t>ROA with EAT</t>
  </si>
  <si>
    <t>Financial Leverage</t>
  </si>
  <si>
    <t>Total Asset Turnover</t>
  </si>
  <si>
    <t>Operating Profit Margin</t>
  </si>
  <si>
    <t>Interest Burden Effect (EBT/EBIT)</t>
  </si>
  <si>
    <t>Tax Effect (EAT/EBT)</t>
  </si>
  <si>
    <t>Verification</t>
  </si>
  <si>
    <t>Internal Growth Rate</t>
  </si>
  <si>
    <t>Sustainable Growth Rate</t>
  </si>
  <si>
    <t>Kraliceck's Quick Test</t>
  </si>
  <si>
    <t>Equity Over Assets</t>
  </si>
  <si>
    <t>CF over sales (operating)</t>
  </si>
  <si>
    <t>COVERAGE RATIOS</t>
  </si>
  <si>
    <t>Net Profit Margin (ROS with EAT)</t>
  </si>
  <si>
    <t>Selected Incomes</t>
  </si>
  <si>
    <t>EAT</t>
  </si>
  <si>
    <t>EBT</t>
  </si>
  <si>
    <t>EBIT</t>
  </si>
  <si>
    <t>EBITDA</t>
  </si>
  <si>
    <t xml:space="preserve">ROA </t>
  </si>
  <si>
    <t>ROCE</t>
  </si>
  <si>
    <t>ROIC</t>
  </si>
  <si>
    <t>Gross Profit Margin</t>
  </si>
  <si>
    <t>Quick Ratio</t>
  </si>
  <si>
    <t>Payables Turnover</t>
  </si>
  <si>
    <t>No. of days of Inventory</t>
  </si>
  <si>
    <t>Receivables Turnover</t>
  </si>
  <si>
    <t>No. of days of Receivables</t>
  </si>
  <si>
    <t>No. of days of Payables</t>
  </si>
  <si>
    <t>Debt-to-Assets Ratio</t>
  </si>
  <si>
    <t>Debt-to-Equity Ratio</t>
  </si>
  <si>
    <t>OPERATING INCOME</t>
  </si>
  <si>
    <t>NET INCOME</t>
  </si>
  <si>
    <t>INCOME BEFORE TAXES</t>
  </si>
  <si>
    <t>NON-OPERATING INCOME</t>
  </si>
  <si>
    <t>Notes</t>
  </si>
  <si>
    <t>"= row6*row7"</t>
  </si>
  <si>
    <t>"= row8*row9*row10"</t>
  </si>
  <si>
    <t>"= row13*row14*row15*16*row17"</t>
  </si>
  <si>
    <t>Debt Repayment Period (in years)</t>
  </si>
  <si>
    <t>Tesla Inc.</t>
  </si>
  <si>
    <t>Volkswagen Group</t>
  </si>
  <si>
    <t>General Motors</t>
  </si>
  <si>
    <t>SALES GROWTH</t>
  </si>
  <si>
    <t>OPERATING PROFIT MARGIN</t>
  </si>
  <si>
    <t>NET PROFIT MARGIN</t>
  </si>
  <si>
    <t>Ford Motor Company</t>
  </si>
  <si>
    <t>REVENUES (in millions of US$)</t>
  </si>
  <si>
    <t>EBIT (in millions of US$)</t>
  </si>
  <si>
    <t>Real Sales Growth (Tesla)</t>
  </si>
  <si>
    <t>Rate of Inflation - USA</t>
  </si>
  <si>
    <t>EAT (in millions of US$)</t>
  </si>
  <si>
    <t>2025E</t>
  </si>
  <si>
    <t>2026E</t>
  </si>
  <si>
    <t>2027E</t>
  </si>
  <si>
    <t>2028E</t>
  </si>
  <si>
    <t>Sales Growth</t>
  </si>
  <si>
    <t>2029E</t>
  </si>
  <si>
    <t>Revenue(in mil USD)</t>
  </si>
  <si>
    <t>NEUTRAL (Growth remains constant)</t>
  </si>
  <si>
    <t>PESSIMISTIC (Growth reduces 4% each year)</t>
  </si>
  <si>
    <t>OPTIMISTIC (Growth increases 0.5% each year)</t>
  </si>
  <si>
    <t>REAL SALES GROWTH - TESLA (According to Fisher's equation)</t>
  </si>
  <si>
    <t>"= (Total Debt - Liquid Assets ) / 
(CF from Operating Activities)"</t>
  </si>
  <si>
    <t>Total Equity</t>
  </si>
  <si>
    <t>Mean (2020-2024)</t>
  </si>
  <si>
    <t>Q1</t>
  </si>
  <si>
    <t>Q2</t>
  </si>
  <si>
    <t>Q3</t>
  </si>
  <si>
    <t>Q4</t>
  </si>
  <si>
    <t xml:space="preserve">Energy generation and storage revenue </t>
  </si>
  <si>
    <t xml:space="preserve">Services and other revenue </t>
  </si>
  <si>
    <t>Total automotive revenues
(Car Sales + Sales of regulatory credits)</t>
  </si>
  <si>
    <t>Total revenue</t>
  </si>
  <si>
    <t>Total automotive revenues - share</t>
  </si>
  <si>
    <t>Energy generation and storage revenue &amp; Servicing  - revenue share</t>
  </si>
  <si>
    <t>Q4 - 2023</t>
  </si>
  <si>
    <t>Q1 - 2023</t>
  </si>
  <si>
    <t>Q2 - 2023</t>
  </si>
  <si>
    <t>Q3 - 2022</t>
  </si>
  <si>
    <t>Q4 - 2024</t>
  </si>
  <si>
    <t>Q1 - 2024</t>
  </si>
  <si>
    <t>Q2 - 2024</t>
  </si>
  <si>
    <t>Q3 - 2024</t>
  </si>
  <si>
    <t>Q1 - 2025</t>
  </si>
  <si>
    <t>Projected Sales Growth - NEUTRAL</t>
  </si>
  <si>
    <t>Projected Revenue (in millions of US$) - NEUTRAL</t>
  </si>
  <si>
    <t>(In millions of USD)</t>
  </si>
  <si>
    <t>Depreciation</t>
  </si>
  <si>
    <t xml:space="preserve">    Cash and Cash Equivalents</t>
  </si>
  <si>
    <t xml:space="preserve">    Marketable Securities (Short Term)</t>
  </si>
  <si>
    <t xml:space="preserve">    Cash, Cash Equivalents and Investments</t>
  </si>
  <si>
    <t xml:space="preserve">    Accounts Receivable, Net</t>
  </si>
  <si>
    <t xml:space="preserve">    Inventory</t>
  </si>
  <si>
    <t xml:space="preserve">    Prepaid Expenses and Other Current Assets</t>
  </si>
  <si>
    <t xml:space="preserve">    Property, Plant and Equipment, Net</t>
  </si>
  <si>
    <t xml:space="preserve">    Goodwill</t>
  </si>
  <si>
    <t xml:space="preserve">    Intangible Assets, Net</t>
  </si>
  <si>
    <t xml:space="preserve">    Goodwill and Intangible Assets, Net</t>
  </si>
  <si>
    <t xml:space="preserve">    Long-Term Investments</t>
  </si>
  <si>
    <t xml:space="preserve">    Deferred Tax Assets (Non-Current)</t>
  </si>
  <si>
    <t xml:space="preserve">    Other Non-Current Assets</t>
  </si>
  <si>
    <t xml:space="preserve">    Accounts Payable</t>
  </si>
  <si>
    <t xml:space="preserve">    Accrued Liabilities and Other Current Liabilities</t>
  </si>
  <si>
    <t xml:space="preserve">    Deferred Revenue (Current)</t>
  </si>
  <si>
    <t xml:space="preserve">    Short-Term Debt</t>
  </si>
  <si>
    <t xml:space="preserve">    Income Taxes Payable</t>
  </si>
  <si>
    <t xml:space="preserve">    Long-Term Debt</t>
  </si>
  <si>
    <t xml:space="preserve">    Deferred Revenue (Non-Current)</t>
  </si>
  <si>
    <t xml:space="preserve">    Deferred Tax Liabilities (Non-Current)</t>
  </si>
  <si>
    <t xml:space="preserve">    Other Non-Current Liabilities</t>
  </si>
  <si>
    <t xml:space="preserve">    Common Stock</t>
  </si>
  <si>
    <t xml:space="preserve">    Retained Earnings (Accumulated Deficit)</t>
  </si>
  <si>
    <t xml:space="preserve">    Accumulated Other Comprehensive Income (Loss)</t>
  </si>
  <si>
    <t xml:space="preserve">    Other Stockholders Equity</t>
  </si>
  <si>
    <t xml:space="preserve">    Research and Development</t>
  </si>
  <si>
    <t xml:space="preserve">    Selling, General and Administrative</t>
  </si>
  <si>
    <t xml:space="preserve">    Other Operating Expenses</t>
  </si>
  <si>
    <t xml:space="preserve">    Income from Operations (EBIT)</t>
  </si>
  <si>
    <t xml:space="preserve">    Interest Income</t>
  </si>
  <si>
    <t xml:space="preserve">    Interest Expense</t>
  </si>
  <si>
    <t xml:space="preserve">    Other Income (Expense), Net</t>
  </si>
  <si>
    <t xml:space="preserve">    Income Before Income Taxes (EBT)</t>
  </si>
  <si>
    <t xml:space="preserve">    Pretax Margin</t>
  </si>
  <si>
    <t xml:space="preserve">    Provision for Income Taxes</t>
  </si>
  <si>
    <t xml:space="preserve">    Operating Margin</t>
  </si>
  <si>
    <t xml:space="preserve">    Gross Margin</t>
  </si>
  <si>
    <t xml:space="preserve">    Net Profit Margin</t>
  </si>
  <si>
    <t xml:space="preserve">    Weighted Avg Shares Outstanding (Basic)</t>
  </si>
  <si>
    <t xml:space="preserve">    Weighted Avg Shares Outstanding (Diluted)</t>
  </si>
  <si>
    <t xml:space="preserve">    EPS Basic</t>
  </si>
  <si>
    <t xml:space="preserve">    EPS Diluted</t>
  </si>
  <si>
    <t xml:space="preserve">    Depreciation and Amortization (CF)</t>
  </si>
  <si>
    <t xml:space="preserve">    Stock-Based Compensation (CF)</t>
  </si>
  <si>
    <t xml:space="preserve">    Deferred Income Taxes (CF)</t>
  </si>
  <si>
    <t xml:space="preserve">    Other Non-Cash Items</t>
  </si>
  <si>
    <t xml:space="preserve">    Change in Accounts Receivable</t>
  </si>
  <si>
    <t xml:space="preserve">    Change in Inventory</t>
  </si>
  <si>
    <t xml:space="preserve">    Change in Accounts Payable</t>
  </si>
  <si>
    <t xml:space="preserve">    Change in Other Operating Assets/Liabilities</t>
  </si>
  <si>
    <t xml:space="preserve">    Change in Operating Assets &amp; Liabilities</t>
  </si>
  <si>
    <t xml:space="preserve">    Purchases of Property, Plant &amp; Equipment (Capex)</t>
  </si>
  <si>
    <t xml:space="preserve">    Purchases of Marketable Securities / Investments</t>
  </si>
  <si>
    <t xml:space="preserve">    Sales/Maturities of Marketable Securities / Investments</t>
  </si>
  <si>
    <t xml:space="preserve">    Acquisitions, Net of Cash Acquired</t>
  </si>
  <si>
    <t xml:space="preserve">    Other Investing Activities</t>
  </si>
  <si>
    <t xml:space="preserve">    Proceeds from Issuance of Common Stock</t>
  </si>
  <si>
    <t xml:space="preserve">    Repurchases of Common Stock</t>
  </si>
  <si>
    <t xml:space="preserve">    Repayments of Debt</t>
  </si>
  <si>
    <t xml:space="preserve">    Dividends Paid</t>
  </si>
  <si>
    <t xml:space="preserve">    Other Financing Activities</t>
  </si>
  <si>
    <t xml:space="preserve">    Effect of Exchange Rate Changes on Cash</t>
  </si>
  <si>
    <t xml:space="preserve">    Net Change in Cash and Cash Equivalents</t>
  </si>
  <si>
    <t xml:space="preserve">    Cash and Cash Equivalents, Beginning of Period</t>
  </si>
  <si>
    <t xml:space="preserve">    Cash and Cash Equivalents, End of Period</t>
  </si>
  <si>
    <t xml:space="preserve">    Operating Cash Flow (Reported)</t>
  </si>
  <si>
    <t xml:space="preserve">    Capital Expenditures (Reported)</t>
  </si>
  <si>
    <t xml:space="preserve">    Free Cash Flow (Reported)</t>
  </si>
  <si>
    <t xml:space="preserve">    Noncontrolling Interests</t>
  </si>
  <si>
    <t xml:space="preserve">Vertical Analysis - Income Statement </t>
  </si>
  <si>
    <t>Mean</t>
  </si>
  <si>
    <t>Cost of Operating Revenue</t>
  </si>
  <si>
    <t>Selling, General &amp; Administrative Expenses</t>
  </si>
  <si>
    <t xml:space="preserve">Other Operating Expense/(Income) </t>
  </si>
  <si>
    <t>Operating Expenses - Total</t>
  </si>
  <si>
    <t xml:space="preserve">Pro Forma Income Statement </t>
  </si>
  <si>
    <t>Sales</t>
  </si>
  <si>
    <t>Selling, General &amp; Administrative Expenses - Total</t>
  </si>
  <si>
    <t>Other Operating Expense/(Income) - Net</t>
  </si>
  <si>
    <t>Operating Profit</t>
  </si>
  <si>
    <t>Interest Expenses</t>
  </si>
  <si>
    <t>Income before Taxes</t>
  </si>
  <si>
    <t>Taxes</t>
  </si>
  <si>
    <t>Net Profit Margin (Mean 19-23 = 3.25%)</t>
  </si>
  <si>
    <t xml:space="preserve">Operating Profit Margin </t>
  </si>
  <si>
    <t>Debt</t>
  </si>
  <si>
    <t>Estimated Interest Rate</t>
  </si>
  <si>
    <t xml:space="preserve">Risk-free </t>
  </si>
  <si>
    <t>Horizontal Analysis</t>
  </si>
  <si>
    <t>% Change in Depreciation YoY</t>
  </si>
  <si>
    <t>% Change in Capital Spending YoY</t>
  </si>
  <si>
    <t xml:space="preserve">Plan of Investments </t>
  </si>
  <si>
    <t>Capital Spending</t>
  </si>
  <si>
    <t>Predicted Depreciation</t>
  </si>
  <si>
    <t>Total Revenue</t>
  </si>
  <si>
    <t>Mean '20-'24</t>
  </si>
  <si>
    <t>Receivables</t>
  </si>
  <si>
    <t>Payables</t>
  </si>
  <si>
    <t>Mean '20-'24 cash ratio</t>
  </si>
  <si>
    <t>Cash &amp; Cash Equivalents</t>
  </si>
  <si>
    <t>CR = Cash / CL</t>
  </si>
  <si>
    <t xml:space="preserve">Total Assets </t>
  </si>
  <si>
    <t>Cash &amp; Cash Equivalents 
(as % of Sales)</t>
  </si>
  <si>
    <t>WACC</t>
  </si>
  <si>
    <t>a) Total Debt = Long-term Debt  + Short-Term Debt + Other Fixed Payments</t>
  </si>
  <si>
    <t>Based on Accounting Value</t>
  </si>
  <si>
    <t>Equity</t>
  </si>
  <si>
    <t>Debt/Equity</t>
  </si>
  <si>
    <t>Proportion of Debt</t>
  </si>
  <si>
    <t>Proportion of Equity</t>
  </si>
  <si>
    <t>Cost of Debt</t>
  </si>
  <si>
    <t>Pre-Tax Cost of Debt (Financing Expense /Total Debt)</t>
  </si>
  <si>
    <t>Tax Rate</t>
  </si>
  <si>
    <t>After-Tax Cost of Debt</t>
  </si>
  <si>
    <t>Cost of Equity</t>
  </si>
  <si>
    <t>Risk Free Rate</t>
  </si>
  <si>
    <t>Equity Risk Premium</t>
  </si>
  <si>
    <t>Country Risk Premium</t>
  </si>
  <si>
    <t>Company Specific Risk Premium</t>
  </si>
  <si>
    <t>Levered Equity Beta</t>
  </si>
  <si>
    <t>Based on Market Value</t>
  </si>
  <si>
    <t>Market Cap</t>
  </si>
  <si>
    <t>Pre-Tax Cost of Debt</t>
  </si>
  <si>
    <t>Risk-Free Rate</t>
  </si>
  <si>
    <t>(in millions of USD)</t>
  </si>
  <si>
    <t>federal + state, e.g., ~25.0%, or just the federal 21%</t>
  </si>
  <si>
    <t>Cost of Debt:</t>
  </si>
  <si>
    <t>Cost of Equity:</t>
  </si>
  <si>
    <t>Entries from 2020 to 2024 are based on historical data, entries from 2025 to 2029 are based on plans (plan of income statement, plan of investments and plan of working capital).</t>
  </si>
  <si>
    <t xml:space="preserve">Net Income </t>
  </si>
  <si>
    <t>Change in NWC</t>
  </si>
  <si>
    <t>FCFF</t>
  </si>
  <si>
    <t>NWC</t>
  </si>
  <si>
    <t>Inventories - Total</t>
  </si>
  <si>
    <t>Trade Accounts &amp; Trade Notes Receivable - Net</t>
  </si>
  <si>
    <t>Trade Accounts &amp; Trade Notes Payable - Net</t>
  </si>
  <si>
    <t>Cash (L1 = 16.52% )</t>
  </si>
  <si>
    <t>NOTE : Using G16 to calculate the projected cash and cash equivalents</t>
  </si>
  <si>
    <t>NOTE : Average doesn’t make sense, will stick to 16.52% for estimations</t>
  </si>
  <si>
    <t xml:space="preserve">Approximate Market Capitalization (Millions USD)	</t>
  </si>
  <si>
    <t>EVA</t>
  </si>
  <si>
    <t>LIFECYCLE OF TESLA</t>
  </si>
  <si>
    <t>Invested Capital</t>
  </si>
  <si>
    <t>Discounted cash - not operationally necessary</t>
  </si>
  <si>
    <t>Discounted FCFF</t>
  </si>
  <si>
    <t>Cash - not operationaly necessary</t>
  </si>
  <si>
    <t>Enterprise Value</t>
  </si>
  <si>
    <t>Equity Value</t>
  </si>
  <si>
    <t>Terminal Value</t>
  </si>
  <si>
    <t>g</t>
  </si>
  <si>
    <t>beta = 2.58</t>
  </si>
  <si>
    <t xml:space="preserve">EAT </t>
  </si>
  <si>
    <t>Revenue</t>
  </si>
  <si>
    <t>(in mil USD)</t>
  </si>
  <si>
    <t>NOTE: Increased CapEx in Tesla Energy (B2B), and decreased CapEx in Auto</t>
  </si>
  <si>
    <t xml:space="preserve">$677,000 </t>
  </si>
  <si>
    <t xml:space="preserve">$1,100,000 </t>
  </si>
  <si>
    <t>$389,000</t>
  </si>
  <si>
    <t xml:space="preserve">$790,000 </t>
  </si>
  <si>
    <t>$1,300,000</t>
  </si>
  <si>
    <t xml:space="preserve">Energy and Servicing revenue </t>
  </si>
  <si>
    <t>This graph shows Tesla's projected financing structure from 2020 to 2024, with all components measured as a percentage of Total Assets (the blue 100% line). The key dynamic is the opposing trends of equity and liabilities. Total Equity (red line) exhibits a clear upward trajectory, increasing its share of the asset base from roughly 45% in 2020 to approximately 60% by 2024. In contrast, Total Liabilities (green line) consistently decrease, falling from about 55% to 40% over the same timeframe.</t>
  </si>
  <si>
    <t>These trends indicate a significant projected deleveraging for Tesla during this period. The crossover point between 2020 and 2021 marks the shift from liabilities being the larger component to equity becoming dominant. Overall, the graph illustrates a move towards a less debt-reliant financing structure, implying a strengthening balance sheet financed increasingly by equity.</t>
  </si>
  <si>
    <t>Generally, the trend shows a sharp decrease in the percentage from 2020 to 2022, after which it levels off and shows a slight increase towards 2024.</t>
  </si>
  <si>
    <t>The graph indicates that Property, Plant &amp; Equipment (PP&amp;E) as a percentage of total assets peaks early in the period (2021) before gradually declining. This suggests a phase of heavy capital investment relative to overall asset growth potentially concluding around 2021. Following this, the Inventory percentage peaks later, in 2022, before decreasing. This pattern could imply that after major investments in production capacity (PP&amp;E), Tesla's production ramp-up led to a temporary peak in relative inventory levels, perhaps due to optimizing supply chains or aligning output with demand, before achieving greater efficiency or balance in the subsequent years, causing both percentages to decline relative to total assets.</t>
  </si>
  <si>
    <t>This graph shows a striking projected "rise and fall" pattern for Tesla's profitability between 2020 and 2024. Both Gross and Net profit margins climb significantly to impressive peaks around 2022-2023, with the Net Margin notably exceeding 15%. However, this strong performance is projected to be followed by an equally sharp decline into 2024, suggesting the model anticipates considerable pressure on margins from factors like competition or costs after reaching those peaks.</t>
  </si>
  <si>
    <t>This graph shows Tesla's projected growth in revenue and key expenses from 2020 to 2024, indexed to 100 in 2020. Both Total Revenues and Research &amp; Development expenses demonstrate very strong growth, projected to more than triple their 2020 levels by 2024. Notably, Selling, General, and Administrative expenses show much slower growth, only reaching about 165% of their 2020 level. This divergence highlights significant operating leverage, as revenues are projected to increase at a much faster rate than the SG&amp;A costs required to support that growth.</t>
  </si>
  <si>
    <t>This graph powerfully illustrates the projected dynamics between Tesla's revenue growth and operating income (EBIT) growth from 2020 to 2024, benchmarked against 2020. It vividly captures a period of intense operating leverage, where EBIT (red line) grows explosively to nearly seven times its 2020 level by 2022, dramatically outpacing revenue growth (blue line). However, the subsequent sharp decline in EBIT growth from 2022 to 2024, while still remaining above revenue growth, clearly signals a projected period of significant operating margin compression following the peak performance in 2022.</t>
  </si>
  <si>
    <t>This graph clearly illustrates that Total Equity (red line) is projected to grow at the fastest rate between 2020 and 2024, significantly outpacing the growth of Total Assets (blue line) and especially Total Liabilities (green line). By 2024, equity is projected to be over 3 times its 2020 level, while liabilities grow much more slowly to about 1.7 times their 2020 level. This pattern strongly reinforces the deleveraging trend seen earlier, indicating that Tesla's projected asset growth during this period is funded more substantially by equity accumulation (likely driven by retained earnings, considering the profitability shown previously) than by taking on new debt.</t>
  </si>
  <si>
    <t>The line graph and pie charts illustrate a notable projected shift in Tesla's revenue composition. The line graph, covering late 2023 to early 2025, clearly depicts a decreasing share for the Automotive division (blue line) against a significantly increasing share for the Energy Generation &amp; Storage &amp; Servicing division (red line). Comparing the pie chart from Q1 2022 to the projected Q1 2025 pie chart further emphasizes this trend, showing a visibly larger slice representing the Energy &amp; Servicing division's contribution in the later quarter. Both the line graph and the pie chart comparison point towards the growing relative importance of the energy and servicing business within Tesla's overall revenue stream according to these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</si>
</sst>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000000%"/>
  </numFmts>
  <fonts count="13" x14ac:knownFonts="1">
    <font>
      <sz val="11"/>
      <color theme="1"/>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b/>
      <sz val="12"/>
      <color rgb="FF000000"/>
      <name val="Calibri"/>
      <family val="2"/>
      <scheme val="minor"/>
    </font>
    <font>
      <b/>
      <sz val="11"/>
      <color rgb="FF000000"/>
      <name val="Calibri"/>
      <family val="2"/>
      <scheme val="minor"/>
    </font>
    <font>
      <sz val="11"/>
      <color theme="1"/>
      <name val="Calibri"/>
      <family val="2"/>
      <charset val="238"/>
      <scheme val="minor"/>
    </font>
    <font>
      <b/>
      <i/>
      <sz val="11"/>
      <color theme="1"/>
      <name val="Calibri"/>
      <family val="2"/>
      <scheme val="minor"/>
    </font>
    <font>
      <sz val="11"/>
      <color theme="1"/>
      <name val="Calibri"/>
      <family val="2"/>
    </font>
    <font>
      <b/>
      <sz val="11"/>
      <color theme="1"/>
      <name val="Calibri"/>
      <family val="2"/>
      <charset val="238"/>
    </font>
    <font>
      <sz val="11"/>
      <color theme="1"/>
      <name val="Calibri"/>
      <family val="2"/>
      <charset val="238"/>
    </font>
    <font>
      <b/>
      <sz val="11"/>
      <color rgb="FF000000"/>
      <name val="Calibri"/>
      <family val="2"/>
      <charset val="238"/>
      <scheme val="minor"/>
    </font>
    <font>
      <sz val="9"/>
      <color rgb="FF000000"/>
      <name val="Tahoma"/>
      <family val="2"/>
      <charset val="238"/>
    </font>
  </fonts>
  <fills count="12">
    <fill>
      <patternFill patternType="none"/>
    </fill>
    <fill>
      <patternFill patternType="gray125"/>
    </fill>
    <fill>
      <patternFill patternType="solid">
        <fgColor rgb="FFDDEBF7"/>
        <bgColor indexed="64"/>
      </patternFill>
    </fill>
    <fill>
      <patternFill patternType="solid">
        <fgColor rgb="FFF2F2F2"/>
        <bgColor indexed="64"/>
      </patternFill>
    </fill>
    <fill>
      <patternFill patternType="solid">
        <fgColor rgb="FFDDEBF7"/>
        <bgColor rgb="FF000000"/>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FF"/>
        <bgColor rgb="FF000000"/>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right style="thin">
        <color auto="1"/>
      </right>
      <top/>
      <bottom/>
      <diagonal/>
    </border>
  </borders>
  <cellStyleXfs count="2">
    <xf numFmtId="0" fontId="0" fillId="0" borderId="0"/>
    <xf numFmtId="0" fontId="6" fillId="0" borderId="0"/>
  </cellStyleXfs>
  <cellXfs count="105">
    <xf numFmtId="0" fontId="0" fillId="0" borderId="0" xfId="0"/>
    <xf numFmtId="0" fontId="1" fillId="0" borderId="1" xfId="0" applyFont="1" applyBorder="1" applyAlignment="1">
      <alignment horizontal="center" vertical="top"/>
    </xf>
    <xf numFmtId="3" fontId="0" fillId="0" borderId="0" xfId="0" applyNumberFormat="1"/>
    <xf numFmtId="2" fontId="0" fillId="0" borderId="0" xfId="0" applyNumberFormat="1"/>
    <xf numFmtId="0" fontId="1" fillId="0" borderId="0" xfId="0" applyFont="1"/>
    <xf numFmtId="0" fontId="5" fillId="0" borderId="1" xfId="0" applyFont="1" applyBorder="1" applyAlignment="1">
      <alignment horizontal="center" vertical="top"/>
    </xf>
    <xf numFmtId="10" fontId="0" fillId="0" borderId="0" xfId="0" applyNumberFormat="1"/>
    <xf numFmtId="0" fontId="0" fillId="0" borderId="1" xfId="0" applyBorder="1" applyAlignment="1">
      <alignment horizontal="left" vertical="top"/>
    </xf>
    <xf numFmtId="0" fontId="1" fillId="0" borderId="1" xfId="0" applyFont="1" applyBorder="1"/>
    <xf numFmtId="0" fontId="0" fillId="0" borderId="1" xfId="0" applyBorder="1" applyAlignment="1">
      <alignment horizontal="right"/>
    </xf>
    <xf numFmtId="2" fontId="0" fillId="0" borderId="1" xfId="0" applyNumberFormat="1" applyBorder="1"/>
    <xf numFmtId="0" fontId="1" fillId="6" borderId="1" xfId="0" applyFont="1" applyFill="1" applyBorder="1"/>
    <xf numFmtId="10" fontId="0" fillId="6" borderId="1" xfId="0" applyNumberFormat="1" applyFill="1" applyBorder="1" applyAlignment="1">
      <alignment horizontal="right"/>
    </xf>
    <xf numFmtId="10" fontId="0" fillId="6" borderId="1" xfId="0" applyNumberFormat="1" applyFill="1" applyBorder="1"/>
    <xf numFmtId="2" fontId="0" fillId="6" borderId="1" xfId="0" applyNumberFormat="1" applyFill="1" applyBorder="1"/>
    <xf numFmtId="0" fontId="1" fillId="7" borderId="1" xfId="0" applyFont="1" applyFill="1" applyBorder="1"/>
    <xf numFmtId="2" fontId="0" fillId="6" borderId="1" xfId="0" applyNumberFormat="1" applyFill="1" applyBorder="1" applyAlignment="1">
      <alignment horizontal="right"/>
    </xf>
    <xf numFmtId="3" fontId="0" fillId="0" borderId="1" xfId="0" applyNumberFormat="1" applyBorder="1"/>
    <xf numFmtId="3" fontId="0" fillId="6" borderId="1" xfId="0" applyNumberFormat="1" applyFill="1" applyBorder="1"/>
    <xf numFmtId="0" fontId="1" fillId="5" borderId="1" xfId="0" applyFont="1" applyFill="1" applyBorder="1"/>
    <xf numFmtId="0" fontId="0" fillId="0" borderId="1" xfId="0" applyBorder="1"/>
    <xf numFmtId="3" fontId="0" fillId="6" borderId="1" xfId="0" quotePrefix="1" applyNumberFormat="1" applyFill="1" applyBorder="1"/>
    <xf numFmtId="0" fontId="0" fillId="0" borderId="1" xfId="0" applyBorder="1" applyAlignment="1">
      <alignment horizontal="center"/>
    </xf>
    <xf numFmtId="2" fontId="0" fillId="0" borderId="1" xfId="0" applyNumberFormat="1" applyBorder="1" applyAlignment="1">
      <alignment horizontal="right"/>
    </xf>
    <xf numFmtId="10" fontId="0" fillId="0" borderId="1" xfId="0" applyNumberFormat="1" applyBorder="1" applyAlignment="1">
      <alignment horizontal="right"/>
    </xf>
    <xf numFmtId="10" fontId="0" fillId="0" borderId="1" xfId="0" applyNumberFormat="1" applyBorder="1"/>
    <xf numFmtId="0" fontId="0" fillId="7" borderId="1" xfId="0" applyFill="1" applyBorder="1"/>
    <xf numFmtId="0" fontId="0" fillId="0" borderId="1" xfId="0" applyBorder="1" applyAlignment="1">
      <alignment horizontal="center" wrapText="1"/>
    </xf>
    <xf numFmtId="3" fontId="0" fillId="0" borderId="0" xfId="0" quotePrefix="1" applyNumberFormat="1"/>
    <xf numFmtId="0" fontId="1" fillId="0" borderId="1" xfId="0" applyFont="1" applyBorder="1" applyAlignment="1">
      <alignment horizontal="center"/>
    </xf>
    <xf numFmtId="0" fontId="1" fillId="0" borderId="3" xfId="0" applyFont="1" applyBorder="1"/>
    <xf numFmtId="0" fontId="0" fillId="0" borderId="4" xfId="0" applyBorder="1"/>
    <xf numFmtId="10" fontId="0" fillId="0" borderId="4" xfId="0" applyNumberFormat="1" applyBorder="1"/>
    <xf numFmtId="10" fontId="0" fillId="0" borderId="5" xfId="0" applyNumberFormat="1" applyBorder="1"/>
    <xf numFmtId="0" fontId="2" fillId="2" borderId="1" xfId="0" applyFont="1" applyFill="1" applyBorder="1"/>
    <xf numFmtId="0" fontId="1" fillId="0" borderId="1" xfId="0" applyFont="1" applyBorder="1" applyAlignment="1">
      <alignment horizontal="right"/>
    </xf>
    <xf numFmtId="0" fontId="0" fillId="5" borderId="1" xfId="0" applyFill="1" applyBorder="1"/>
    <xf numFmtId="0" fontId="1" fillId="5" borderId="1" xfId="0" applyFont="1" applyFill="1" applyBorder="1" applyAlignment="1">
      <alignment horizontal="right"/>
    </xf>
    <xf numFmtId="166" fontId="0" fillId="0" borderId="0" xfId="0" applyNumberFormat="1"/>
    <xf numFmtId="0" fontId="1" fillId="8" borderId="0" xfId="0" applyFont="1" applyFill="1"/>
    <xf numFmtId="4" fontId="0" fillId="0" borderId="1" xfId="0" applyNumberFormat="1" applyBorder="1"/>
    <xf numFmtId="0" fontId="0" fillId="0" borderId="6" xfId="0" applyBorder="1"/>
    <xf numFmtId="0" fontId="0" fillId="0" borderId="7" xfId="0" applyBorder="1"/>
    <xf numFmtId="0" fontId="1" fillId="5" borderId="1" xfId="0" applyFont="1" applyFill="1" applyBorder="1" applyAlignment="1">
      <alignment horizontal="right" vertical="top"/>
    </xf>
    <xf numFmtId="0" fontId="1" fillId="3" borderId="1" xfId="0" applyFont="1" applyFill="1" applyBorder="1"/>
    <xf numFmtId="3" fontId="1" fillId="0" borderId="1" xfId="0" applyNumberFormat="1" applyFont="1" applyBorder="1"/>
    <xf numFmtId="0" fontId="3" fillId="0" borderId="1" xfId="0" applyFont="1" applyBorder="1"/>
    <xf numFmtId="0" fontId="4" fillId="4" borderId="1" xfId="0" applyFont="1" applyFill="1" applyBorder="1"/>
    <xf numFmtId="3" fontId="5" fillId="0" borderId="1" xfId="0" applyNumberFormat="1" applyFont="1" applyBorder="1"/>
    <xf numFmtId="164" fontId="3" fillId="0" borderId="1" xfId="0" applyNumberFormat="1" applyFont="1" applyBorder="1"/>
    <xf numFmtId="3" fontId="3" fillId="0" borderId="1" xfId="0" applyNumberFormat="1" applyFont="1" applyBorder="1"/>
    <xf numFmtId="10" fontId="0" fillId="0" borderId="1" xfId="0" quotePrefix="1" applyNumberFormat="1" applyBorder="1"/>
    <xf numFmtId="164" fontId="0" fillId="0" borderId="1" xfId="0" applyNumberFormat="1" applyBorder="1"/>
    <xf numFmtId="165" fontId="0" fillId="0" borderId="1" xfId="0" applyNumberFormat="1" applyBorder="1"/>
    <xf numFmtId="3" fontId="0" fillId="7" borderId="1" xfId="0" applyNumberFormat="1" applyFill="1" applyBorder="1"/>
    <xf numFmtId="3" fontId="1" fillId="5" borderId="1" xfId="0" applyNumberFormat="1" applyFont="1" applyFill="1" applyBorder="1"/>
    <xf numFmtId="3" fontId="5" fillId="5" borderId="1" xfId="0" applyNumberFormat="1" applyFont="1" applyFill="1" applyBorder="1"/>
    <xf numFmtId="0" fontId="0" fillId="5" borderId="5" xfId="0" applyFill="1" applyBorder="1"/>
    <xf numFmtId="0" fontId="1" fillId="5" borderId="5" xfId="0" applyFont="1" applyFill="1" applyBorder="1"/>
    <xf numFmtId="3" fontId="1" fillId="5" borderId="5" xfId="0" applyNumberFormat="1" applyFont="1" applyFill="1" applyBorder="1"/>
    <xf numFmtId="0" fontId="0" fillId="9" borderId="1" xfId="0" applyFill="1" applyBorder="1"/>
    <xf numFmtId="3" fontId="0" fillId="0" borderId="1" xfId="0" applyNumberFormat="1" applyBorder="1" applyAlignment="1">
      <alignment horizontal="center"/>
    </xf>
    <xf numFmtId="0" fontId="1" fillId="9" borderId="1" xfId="0" applyFont="1" applyFill="1" applyBorder="1"/>
    <xf numFmtId="0" fontId="1" fillId="9" borderId="1" xfId="0" applyFont="1" applyFill="1" applyBorder="1" applyAlignment="1">
      <alignment wrapText="1"/>
    </xf>
    <xf numFmtId="0" fontId="1" fillId="9" borderId="1" xfId="0" applyFont="1" applyFill="1" applyBorder="1" applyAlignment="1">
      <alignment horizontal="center"/>
    </xf>
    <xf numFmtId="10" fontId="0" fillId="0" borderId="1" xfId="0" applyNumberFormat="1" applyBorder="1" applyAlignment="1">
      <alignment horizontal="center"/>
    </xf>
    <xf numFmtId="0" fontId="7" fillId="0" borderId="0" xfId="0" applyFont="1"/>
    <xf numFmtId="0" fontId="1" fillId="5" borderId="1" xfId="0" applyFont="1" applyFill="1" applyBorder="1" applyAlignment="1">
      <alignment horizontal="center" vertical="top"/>
    </xf>
    <xf numFmtId="0" fontId="8" fillId="5" borderId="1" xfId="0" applyFont="1" applyFill="1" applyBorder="1"/>
    <xf numFmtId="0" fontId="9" fillId="5" borderId="1" xfId="0" applyFont="1" applyFill="1" applyBorder="1"/>
    <xf numFmtId="0" fontId="10" fillId="5" borderId="1" xfId="0" applyFont="1" applyFill="1" applyBorder="1"/>
    <xf numFmtId="164" fontId="0" fillId="0" borderId="0" xfId="0" applyNumberFormat="1"/>
    <xf numFmtId="0" fontId="1" fillId="0" borderId="0" xfId="0" applyFont="1" applyAlignment="1">
      <alignment horizontal="right"/>
    </xf>
    <xf numFmtId="2" fontId="0" fillId="0" borderId="0" xfId="0" applyNumberFormat="1" applyAlignment="1">
      <alignment horizontal="right"/>
    </xf>
    <xf numFmtId="0" fontId="0" fillId="0" borderId="1" xfId="0" applyBorder="1" applyAlignment="1">
      <alignment wrapText="1"/>
    </xf>
    <xf numFmtId="0" fontId="1" fillId="0" borderId="0" xfId="0" applyFont="1" applyAlignment="1">
      <alignment horizontal="left"/>
    </xf>
    <xf numFmtId="0" fontId="0" fillId="8" borderId="0" xfId="0" applyFill="1"/>
    <xf numFmtId="165" fontId="11" fillId="11" borderId="1" xfId="0" applyNumberFormat="1" applyFont="1" applyFill="1" applyBorder="1" applyAlignment="1">
      <alignment horizontal="left" vertical="center" wrapText="1"/>
    </xf>
    <xf numFmtId="165" fontId="10" fillId="10" borderId="1" xfId="0" applyNumberFormat="1" applyFont="1" applyFill="1" applyBorder="1" applyAlignment="1">
      <alignment horizontal="left" vertical="center" wrapText="1"/>
    </xf>
    <xf numFmtId="165" fontId="9" fillId="10" borderId="1" xfId="0" applyNumberFormat="1" applyFont="1" applyFill="1" applyBorder="1" applyAlignment="1">
      <alignment horizontal="left" vertical="center" wrapText="1"/>
    </xf>
    <xf numFmtId="0" fontId="1" fillId="0" borderId="6" xfId="0" applyFont="1" applyBorder="1" applyAlignment="1">
      <alignment horizontal="right"/>
    </xf>
    <xf numFmtId="164" fontId="0" fillId="0" borderId="1" xfId="0" applyNumberFormat="1" applyBorder="1" applyAlignment="1">
      <alignment horizontal="center"/>
    </xf>
    <xf numFmtId="0" fontId="1" fillId="8" borderId="1" xfId="0" applyFont="1" applyFill="1" applyBorder="1"/>
    <xf numFmtId="0" fontId="0" fillId="0" borderId="8" xfId="0" applyBorder="1"/>
    <xf numFmtId="3" fontId="1" fillId="7" borderId="1" xfId="0" applyNumberFormat="1" applyFont="1" applyFill="1" applyBorder="1"/>
    <xf numFmtId="0" fontId="0" fillId="0" borderId="0" xfId="0" applyAlignment="1">
      <alignment horizontal="center" wrapText="1"/>
    </xf>
    <xf numFmtId="3" fontId="0" fillId="0" borderId="0" xfId="0" applyNumberFormat="1" applyAlignment="1">
      <alignment horizontal="center"/>
    </xf>
    <xf numFmtId="0" fontId="1" fillId="0" borderId="0" xfId="0" applyFont="1" applyAlignment="1">
      <alignment horizontal="center"/>
    </xf>
    <xf numFmtId="0" fontId="3" fillId="5" borderId="1" xfId="0" applyFont="1" applyFill="1" applyBorder="1"/>
    <xf numFmtId="3" fontId="1" fillId="0" borderId="0" xfId="0" applyNumberFormat="1" applyFont="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1" xfId="0" applyFont="1" applyFill="1" applyBorder="1" applyAlignment="1">
      <alignment horizontal="center"/>
    </xf>
    <xf numFmtId="0" fontId="2" fillId="2" borderId="2" xfId="0" applyFont="1" applyFill="1" applyBorder="1" applyAlignment="1">
      <alignment horizontal="center"/>
    </xf>
    <xf numFmtId="0" fontId="2" fillId="2" borderId="4" xfId="0" applyFont="1"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3" fontId="0" fillId="0" borderId="3"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wrapText="1"/>
    </xf>
    <xf numFmtId="0" fontId="1" fillId="7" borderId="1" xfId="0" applyFont="1" applyFill="1" applyBorder="1" applyAlignment="1">
      <alignment horizontal="center"/>
    </xf>
    <xf numFmtId="0" fontId="0" fillId="0" borderId="0" xfId="0" applyAlignment="1">
      <alignment horizontal="center" wrapText="1"/>
    </xf>
    <xf numFmtId="0" fontId="1" fillId="9" borderId="1" xfId="0" applyFont="1" applyFill="1" applyBorder="1" applyAlignment="1">
      <alignment horizontal="center"/>
    </xf>
  </cellXfs>
  <cellStyles count="2">
    <cellStyle name="Normal" xfId="0" builtinId="0"/>
    <cellStyle name="Normální 2" xfId="1" xr:uid="{C995FE79-5DDF-D848-B365-10DE040F08F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Growth</a:t>
            </a:r>
            <a:r>
              <a:rPr lang="en-GB" baseline="0"/>
              <a:t> of Tesla and its Competiitors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'Plan - Sales'!$A$11:$B$11</c:f>
              <c:strCache>
                <c:ptCount val="2"/>
                <c:pt idx="0">
                  <c:v>Tesla Inc.</c:v>
                </c:pt>
              </c:strCache>
            </c:strRef>
          </c:tx>
          <c:spPr>
            <a:ln w="28575" cap="rnd">
              <a:solidFill>
                <a:schemeClr val="accent1"/>
              </a:solidFill>
              <a:round/>
            </a:ln>
            <a:effectLst/>
          </c:spPr>
          <c:marker>
            <c:symbol val="none"/>
          </c:marker>
          <c:cat>
            <c:numRef>
              <c:f>'Plan - Sales'!$C$10:$K$10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'Plan - Sales'!$C$11:$K$11</c:f>
              <c:numCache>
                <c:formatCode>0.00%</c:formatCode>
                <c:ptCount val="9"/>
                <c:pt idx="0">
                  <c:v>0.73012574069611513</c:v>
                </c:pt>
                <c:pt idx="1">
                  <c:v>0.67982546614835271</c:v>
                </c:pt>
                <c:pt idx="2">
                  <c:v>0.8250701590271281</c:v>
                </c:pt>
                <c:pt idx="3">
                  <c:v>0.14524020315921904</c:v>
                </c:pt>
                <c:pt idx="4">
                  <c:v>0.28309870615998045</c:v>
                </c:pt>
                <c:pt idx="5">
                  <c:v>0.70671613394216137</c:v>
                </c:pt>
                <c:pt idx="6">
                  <c:v>0.51351652639206291</c:v>
                </c:pt>
                <c:pt idx="7">
                  <c:v>0.18795266504627925</c:v>
                </c:pt>
                <c:pt idx="8">
                  <c:v>9.4757835346635944E-3</c:v>
                </c:pt>
              </c:numCache>
            </c:numRef>
          </c:val>
          <c:smooth val="0"/>
          <c:extLst>
            <c:ext xmlns:c16="http://schemas.microsoft.com/office/drawing/2014/chart" uri="{C3380CC4-5D6E-409C-BE32-E72D297353CC}">
              <c16:uniqueId val="{00000000-6ADA-B140-A2D5-DD4AA5F75B03}"/>
            </c:ext>
          </c:extLst>
        </c:ser>
        <c:ser>
          <c:idx val="1"/>
          <c:order val="1"/>
          <c:tx>
            <c:strRef>
              <c:f>'Plan - Sales'!$A$12:$B$12</c:f>
              <c:strCache>
                <c:ptCount val="2"/>
                <c:pt idx="0">
                  <c:v>Ford Motor Company</c:v>
                </c:pt>
              </c:strCache>
            </c:strRef>
          </c:tx>
          <c:spPr>
            <a:ln w="28575" cap="rnd">
              <a:solidFill>
                <a:schemeClr val="accent2"/>
              </a:solidFill>
              <a:round/>
            </a:ln>
            <a:effectLst/>
          </c:spPr>
          <c:marker>
            <c:symbol val="none"/>
          </c:marker>
          <c:cat>
            <c:numRef>
              <c:f>'Plan - Sales'!$C$10:$K$10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'Plan - Sales'!$C$12:$K$12</c:f>
              <c:numCache>
                <c:formatCode>0.00%</c:formatCode>
                <c:ptCount val="9"/>
                <c:pt idx="0">
                  <c:v>1.4990839674240095E-2</c:v>
                </c:pt>
                <c:pt idx="1">
                  <c:v>3.2779973649538864E-2</c:v>
                </c:pt>
                <c:pt idx="2">
                  <c:v>2.2720314333826607E-2</c:v>
                </c:pt>
                <c:pt idx="3">
                  <c:v>-2.7679028053237537E-2</c:v>
                </c:pt>
                <c:pt idx="4">
                  <c:v>-0.18445157152020525</c:v>
                </c:pt>
                <c:pt idx="5">
                  <c:v>7.2335304851192356E-2</c:v>
                </c:pt>
                <c:pt idx="6">
                  <c:v>0.15927710666637329</c:v>
                </c:pt>
                <c:pt idx="7">
                  <c:v>0.11473076168723942</c:v>
                </c:pt>
                <c:pt idx="8">
                  <c:v>4.9951473117242087E-2</c:v>
                </c:pt>
              </c:numCache>
            </c:numRef>
          </c:val>
          <c:smooth val="0"/>
          <c:extLst>
            <c:ext xmlns:c16="http://schemas.microsoft.com/office/drawing/2014/chart" uri="{C3380CC4-5D6E-409C-BE32-E72D297353CC}">
              <c16:uniqueId val="{00000001-6ADA-B140-A2D5-DD4AA5F75B03}"/>
            </c:ext>
          </c:extLst>
        </c:ser>
        <c:ser>
          <c:idx val="2"/>
          <c:order val="2"/>
          <c:tx>
            <c:strRef>
              <c:f>'Plan - Sales'!$A$13:$B$13</c:f>
              <c:strCache>
                <c:ptCount val="2"/>
                <c:pt idx="0">
                  <c:v>Volkswagen Group</c:v>
                </c:pt>
              </c:strCache>
            </c:strRef>
          </c:tx>
          <c:spPr>
            <a:ln w="28575" cap="rnd">
              <a:solidFill>
                <a:schemeClr val="accent3"/>
              </a:solidFill>
              <a:round/>
            </a:ln>
            <a:effectLst/>
          </c:spPr>
          <c:marker>
            <c:symbol val="none"/>
          </c:marker>
          <c:cat>
            <c:numRef>
              <c:f>'Plan - Sales'!$C$10:$K$10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'Plan - Sales'!$C$13:$K$13</c:f>
              <c:numCache>
                <c:formatCode>0.00%</c:formatCode>
                <c:ptCount val="9"/>
                <c:pt idx="0">
                  <c:v>1.2798036465638148E-2</c:v>
                </c:pt>
                <c:pt idx="1">
                  <c:v>0.11649645144538688</c:v>
                </c:pt>
                <c:pt idx="2">
                  <c:v>7.8837209302325587E-2</c:v>
                </c:pt>
                <c:pt idx="3">
                  <c:v>-9.3410936264999647E-3</c:v>
                </c:pt>
                <c:pt idx="4">
                  <c:v>-0.10926960179879597</c:v>
                </c:pt>
                <c:pt idx="5">
                  <c:v>0.20520337119824111</c:v>
                </c:pt>
                <c:pt idx="6">
                  <c:v>-6.114658288571332E-3</c:v>
                </c:pt>
                <c:pt idx="7">
                  <c:v>0.18562202583276682</c:v>
                </c:pt>
                <c:pt idx="8">
                  <c:v>7.1672257102720679E-3</c:v>
                </c:pt>
              </c:numCache>
            </c:numRef>
          </c:val>
          <c:smooth val="0"/>
          <c:extLst>
            <c:ext xmlns:c16="http://schemas.microsoft.com/office/drawing/2014/chart" uri="{C3380CC4-5D6E-409C-BE32-E72D297353CC}">
              <c16:uniqueId val="{00000002-6ADA-B140-A2D5-DD4AA5F75B03}"/>
            </c:ext>
          </c:extLst>
        </c:ser>
        <c:ser>
          <c:idx val="3"/>
          <c:order val="3"/>
          <c:tx>
            <c:strRef>
              <c:f>'Plan - Sales'!$A$14:$B$14</c:f>
              <c:strCache>
                <c:ptCount val="2"/>
                <c:pt idx="0">
                  <c:v>General Motors</c:v>
                </c:pt>
              </c:strCache>
            </c:strRef>
          </c:tx>
          <c:spPr>
            <a:ln w="28575" cap="rnd">
              <a:solidFill>
                <a:schemeClr val="accent4"/>
              </a:solidFill>
              <a:round/>
            </a:ln>
            <a:effectLst/>
          </c:spPr>
          <c:marker>
            <c:symbol val="none"/>
          </c:marker>
          <c:cat>
            <c:numRef>
              <c:f>'Plan - Sales'!$C$10:$K$10</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'Plan - Sales'!$C$14:$K$14</c:f>
              <c:numCache>
                <c:formatCode>0.00%</c:formatCode>
                <c:ptCount val="9"/>
                <c:pt idx="0">
                  <c:v>9.2018902599107374E-2</c:v>
                </c:pt>
                <c:pt idx="1">
                  <c:v>-0.12495492246664262</c:v>
                </c:pt>
                <c:pt idx="2">
                  <c:v>1.0028161274812831E-2</c:v>
                </c:pt>
                <c:pt idx="3">
                  <c:v>-6.6712002720163213E-2</c:v>
                </c:pt>
                <c:pt idx="4">
                  <c:v>-0.10747595453220635</c:v>
                </c:pt>
                <c:pt idx="5">
                  <c:v>3.6851987917381014E-2</c:v>
                </c:pt>
                <c:pt idx="6">
                  <c:v>0.23409498913420049</c:v>
                </c:pt>
                <c:pt idx="7">
                  <c:v>9.6385619038504483E-2</c:v>
                </c:pt>
                <c:pt idx="8">
                  <c:v>9.0781066328371407E-2</c:v>
                </c:pt>
              </c:numCache>
            </c:numRef>
          </c:val>
          <c:smooth val="0"/>
          <c:extLst>
            <c:ext xmlns:c16="http://schemas.microsoft.com/office/drawing/2014/chart" uri="{C3380CC4-5D6E-409C-BE32-E72D297353CC}">
              <c16:uniqueId val="{00000003-6ADA-B140-A2D5-DD4AA5F75B03}"/>
            </c:ext>
          </c:extLst>
        </c:ser>
        <c:dLbls>
          <c:showLegendKey val="0"/>
          <c:showVal val="0"/>
          <c:showCatName val="0"/>
          <c:showSerName val="0"/>
          <c:showPercent val="0"/>
          <c:showBubbleSize val="0"/>
        </c:dLbls>
        <c:smooth val="0"/>
        <c:axId val="61450463"/>
        <c:axId val="1592348192"/>
      </c:lineChart>
      <c:catAx>
        <c:axId val="6145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48192"/>
        <c:crosses val="autoZero"/>
        <c:auto val="1"/>
        <c:lblAlgn val="ctr"/>
        <c:lblOffset val="100"/>
        <c:noMultiLvlLbl val="0"/>
      </c:catAx>
      <c:valAx>
        <c:axId val="1592348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Tesla: Profitability Trends (% of Revenue, 2020-2024)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'CS Vertical IS'!$I$2</c:f>
              <c:strCache>
                <c:ptCount val="1"/>
                <c:pt idx="0">
                  <c:v>Gross Profit</c:v>
                </c:pt>
              </c:strCache>
            </c:strRef>
          </c:tx>
          <c:spPr>
            <a:ln w="28575" cap="rnd">
              <a:solidFill>
                <a:schemeClr val="accent1"/>
              </a:solidFill>
              <a:round/>
            </a:ln>
            <a:effectLst/>
          </c:spPr>
          <c:marker>
            <c:symbol val="none"/>
          </c:marker>
          <c:cat>
            <c:numRef>
              <c:f>'CS Vertical IS'!$J$1:$N$1</c:f>
              <c:numCache>
                <c:formatCode>General</c:formatCode>
                <c:ptCount val="5"/>
                <c:pt idx="0">
                  <c:v>2020</c:v>
                </c:pt>
                <c:pt idx="1">
                  <c:v>2021</c:v>
                </c:pt>
                <c:pt idx="2">
                  <c:v>2022</c:v>
                </c:pt>
                <c:pt idx="3">
                  <c:v>2023</c:v>
                </c:pt>
                <c:pt idx="4">
                  <c:v>2024</c:v>
                </c:pt>
              </c:numCache>
            </c:numRef>
          </c:cat>
          <c:val>
            <c:numRef>
              <c:f>'CS Vertical IS'!$J$2:$N$2</c:f>
              <c:numCache>
                <c:formatCode>0.00%</c:formatCode>
                <c:ptCount val="5"/>
                <c:pt idx="0">
                  <c:v>0.2102359208523592</c:v>
                </c:pt>
                <c:pt idx="1">
                  <c:v>0.25279155751258753</c:v>
                </c:pt>
                <c:pt idx="2">
                  <c:v>0.25598438535759005</c:v>
                </c:pt>
                <c:pt idx="3">
                  <c:v>0.18248891736331416</c:v>
                </c:pt>
                <c:pt idx="4">
                  <c:v>0.17862626676220697</c:v>
                </c:pt>
              </c:numCache>
            </c:numRef>
          </c:val>
          <c:smooth val="0"/>
          <c:extLst>
            <c:ext xmlns:c16="http://schemas.microsoft.com/office/drawing/2014/chart" uri="{C3380CC4-5D6E-409C-BE32-E72D297353CC}">
              <c16:uniqueId val="{00000000-515A-3C48-91EE-457D799E4D79}"/>
            </c:ext>
          </c:extLst>
        </c:ser>
        <c:ser>
          <c:idx val="1"/>
          <c:order val="1"/>
          <c:tx>
            <c:strRef>
              <c:f>'CS Vertical IS'!$I$3</c:f>
              <c:strCache>
                <c:ptCount val="1"/>
                <c:pt idx="0">
                  <c:v>Net Income</c:v>
                </c:pt>
              </c:strCache>
            </c:strRef>
          </c:tx>
          <c:spPr>
            <a:ln w="28575" cap="rnd">
              <a:solidFill>
                <a:schemeClr val="accent2"/>
              </a:solidFill>
              <a:round/>
            </a:ln>
            <a:effectLst/>
          </c:spPr>
          <c:marker>
            <c:symbol val="none"/>
          </c:marker>
          <c:cat>
            <c:numRef>
              <c:f>'CS Vertical IS'!$J$1:$N$1</c:f>
              <c:numCache>
                <c:formatCode>General</c:formatCode>
                <c:ptCount val="5"/>
                <c:pt idx="0">
                  <c:v>2020</c:v>
                </c:pt>
                <c:pt idx="1">
                  <c:v>2021</c:v>
                </c:pt>
                <c:pt idx="2">
                  <c:v>2022</c:v>
                </c:pt>
                <c:pt idx="3">
                  <c:v>2023</c:v>
                </c:pt>
                <c:pt idx="4">
                  <c:v>2024</c:v>
                </c:pt>
              </c:numCache>
            </c:numRef>
          </c:cat>
          <c:val>
            <c:numRef>
              <c:f>'CS Vertical IS'!$J$3:$N$3</c:f>
              <c:numCache>
                <c:formatCode>0.00%</c:formatCode>
                <c:ptCount val="5"/>
                <c:pt idx="0">
                  <c:v>2.2862760020294266E-2</c:v>
                </c:pt>
                <c:pt idx="1">
                  <c:v>0.10263270349107259</c:v>
                </c:pt>
                <c:pt idx="2">
                  <c:v>0.15446465836831896</c:v>
                </c:pt>
                <c:pt idx="3">
                  <c:v>0.15499157822946483</c:v>
                </c:pt>
                <c:pt idx="4">
                  <c:v>7.2985976046678266E-2</c:v>
                </c:pt>
              </c:numCache>
            </c:numRef>
          </c:val>
          <c:smooth val="0"/>
          <c:extLst>
            <c:ext xmlns:c16="http://schemas.microsoft.com/office/drawing/2014/chart" uri="{C3380CC4-5D6E-409C-BE32-E72D297353CC}">
              <c16:uniqueId val="{00000001-515A-3C48-91EE-457D799E4D79}"/>
            </c:ext>
          </c:extLst>
        </c:ser>
        <c:dLbls>
          <c:showLegendKey val="0"/>
          <c:showVal val="0"/>
          <c:showCatName val="0"/>
          <c:showSerName val="0"/>
          <c:showPercent val="0"/>
          <c:showBubbleSize val="0"/>
        </c:dLbls>
        <c:smooth val="0"/>
        <c:axId val="496519343"/>
        <c:axId val="496360719"/>
      </c:lineChart>
      <c:catAx>
        <c:axId val="49651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60719"/>
        <c:crosses val="autoZero"/>
        <c:auto val="1"/>
        <c:lblAlgn val="ctr"/>
        <c:lblOffset val="100"/>
        <c:noMultiLvlLbl val="0"/>
      </c:catAx>
      <c:valAx>
        <c:axId val="496360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1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Tesla: Revenue vs. Operating Income (EBIT) Growth (2020=100)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'CS Horizontal IS'!$I$5</c:f>
              <c:strCache>
                <c:ptCount val="1"/>
                <c:pt idx="0">
                  <c:v>Total Revenues</c:v>
                </c:pt>
              </c:strCache>
            </c:strRef>
          </c:tx>
          <c:spPr>
            <a:ln w="28575" cap="rnd">
              <a:solidFill>
                <a:schemeClr val="accent1"/>
              </a:solidFill>
              <a:round/>
            </a:ln>
            <a:effectLst/>
          </c:spPr>
          <c:marker>
            <c:symbol val="none"/>
          </c:marker>
          <c:cat>
            <c:numRef>
              <c:f>'CS Horizontal IS'!$J$4:$N$4</c:f>
              <c:numCache>
                <c:formatCode>General</c:formatCode>
                <c:ptCount val="5"/>
                <c:pt idx="0">
                  <c:v>2020</c:v>
                </c:pt>
                <c:pt idx="1">
                  <c:v>2021</c:v>
                </c:pt>
                <c:pt idx="2">
                  <c:v>2022</c:v>
                </c:pt>
                <c:pt idx="3">
                  <c:v>2023</c:v>
                </c:pt>
                <c:pt idx="4">
                  <c:v>2024</c:v>
                </c:pt>
              </c:numCache>
            </c:numRef>
          </c:cat>
          <c:val>
            <c:numRef>
              <c:f>'CS Horizontal IS'!$J$5:$N$5</c:f>
              <c:numCache>
                <c:formatCode>0.00%</c:formatCode>
                <c:ptCount val="5"/>
                <c:pt idx="0">
                  <c:v>1</c:v>
                </c:pt>
                <c:pt idx="1">
                  <c:v>1.7067161339421613</c:v>
                </c:pt>
                <c:pt idx="2">
                  <c:v>2.5831430745814306</c:v>
                </c:pt>
                <c:pt idx="3">
                  <c:v>3.0686516996448505</c:v>
                </c:pt>
                <c:pt idx="4">
                  <c:v>3.0977295788939623</c:v>
                </c:pt>
              </c:numCache>
            </c:numRef>
          </c:val>
          <c:smooth val="0"/>
          <c:extLst>
            <c:ext xmlns:c16="http://schemas.microsoft.com/office/drawing/2014/chart" uri="{C3380CC4-5D6E-409C-BE32-E72D297353CC}">
              <c16:uniqueId val="{00000000-212B-6F4B-A4F5-FD57D15911D4}"/>
            </c:ext>
          </c:extLst>
        </c:ser>
        <c:ser>
          <c:idx val="1"/>
          <c:order val="1"/>
          <c:tx>
            <c:strRef>
              <c:f>'CS Horizontal IS'!$I$6</c:f>
              <c:strCache>
                <c:ptCount val="1"/>
                <c:pt idx="0">
                  <c:v>Income from Operations (EBIT)</c:v>
                </c:pt>
              </c:strCache>
            </c:strRef>
          </c:tx>
          <c:spPr>
            <a:ln w="28575" cap="rnd">
              <a:solidFill>
                <a:schemeClr val="accent2"/>
              </a:solidFill>
              <a:round/>
            </a:ln>
            <a:effectLst/>
          </c:spPr>
          <c:marker>
            <c:symbol val="none"/>
          </c:marker>
          <c:cat>
            <c:numRef>
              <c:f>'CS Horizontal IS'!$J$4:$N$4</c:f>
              <c:numCache>
                <c:formatCode>General</c:formatCode>
                <c:ptCount val="5"/>
                <c:pt idx="0">
                  <c:v>2020</c:v>
                </c:pt>
                <c:pt idx="1">
                  <c:v>2021</c:v>
                </c:pt>
                <c:pt idx="2">
                  <c:v>2022</c:v>
                </c:pt>
                <c:pt idx="3">
                  <c:v>2023</c:v>
                </c:pt>
                <c:pt idx="4">
                  <c:v>2024</c:v>
                </c:pt>
              </c:numCache>
            </c:numRef>
          </c:cat>
          <c:val>
            <c:numRef>
              <c:f>'CS Horizontal IS'!$J$6:$N$6</c:f>
              <c:numCache>
                <c:formatCode>0.00%</c:formatCode>
                <c:ptCount val="5"/>
                <c:pt idx="0">
                  <c:v>1</c:v>
                </c:pt>
                <c:pt idx="1">
                  <c:v>3.2713139418254764</c:v>
                </c:pt>
                <c:pt idx="2">
                  <c:v>6.8485456369107318</c:v>
                </c:pt>
                <c:pt idx="3">
                  <c:v>4.4588766298896694</c:v>
                </c:pt>
                <c:pt idx="4">
                  <c:v>3.5486459378134403</c:v>
                </c:pt>
              </c:numCache>
            </c:numRef>
          </c:val>
          <c:smooth val="0"/>
          <c:extLst>
            <c:ext xmlns:c16="http://schemas.microsoft.com/office/drawing/2014/chart" uri="{C3380CC4-5D6E-409C-BE32-E72D297353CC}">
              <c16:uniqueId val="{00000001-212B-6F4B-A4F5-FD57D15911D4}"/>
            </c:ext>
          </c:extLst>
        </c:ser>
        <c:dLbls>
          <c:showLegendKey val="0"/>
          <c:showVal val="0"/>
          <c:showCatName val="0"/>
          <c:showSerName val="0"/>
          <c:showPercent val="0"/>
          <c:showBubbleSize val="0"/>
        </c:dLbls>
        <c:smooth val="0"/>
        <c:axId val="510311791"/>
        <c:axId val="781216271"/>
      </c:lineChart>
      <c:catAx>
        <c:axId val="51031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16271"/>
        <c:crosses val="autoZero"/>
        <c:auto val="1"/>
        <c:lblAlgn val="ctr"/>
        <c:lblOffset val="100"/>
        <c:noMultiLvlLbl val="0"/>
      </c:catAx>
      <c:valAx>
        <c:axId val="781216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1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Tesla: Revenue vs. Key Expense Growth (2020=100)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'CS Horizontal IS'!$I$22</c:f>
              <c:strCache>
                <c:ptCount val="1"/>
                <c:pt idx="0">
                  <c:v>Total Revenues</c:v>
                </c:pt>
              </c:strCache>
            </c:strRef>
          </c:tx>
          <c:spPr>
            <a:ln w="28575" cap="rnd">
              <a:solidFill>
                <a:schemeClr val="accent1"/>
              </a:solidFill>
              <a:round/>
            </a:ln>
            <a:effectLst/>
          </c:spPr>
          <c:marker>
            <c:symbol val="none"/>
          </c:marker>
          <c:cat>
            <c:numRef>
              <c:f>'CS Horizontal IS'!$J$21:$N$21</c:f>
              <c:numCache>
                <c:formatCode>General</c:formatCode>
                <c:ptCount val="5"/>
                <c:pt idx="0">
                  <c:v>2020</c:v>
                </c:pt>
                <c:pt idx="1">
                  <c:v>2021</c:v>
                </c:pt>
                <c:pt idx="2">
                  <c:v>2022</c:v>
                </c:pt>
                <c:pt idx="3">
                  <c:v>2023</c:v>
                </c:pt>
                <c:pt idx="4">
                  <c:v>2024</c:v>
                </c:pt>
              </c:numCache>
            </c:numRef>
          </c:cat>
          <c:val>
            <c:numRef>
              <c:f>'CS Horizontal IS'!$J$22:$N$22</c:f>
              <c:numCache>
                <c:formatCode>0.00%</c:formatCode>
                <c:ptCount val="5"/>
                <c:pt idx="0">
                  <c:v>1</c:v>
                </c:pt>
                <c:pt idx="1">
                  <c:v>1.7067161339421613</c:v>
                </c:pt>
                <c:pt idx="2">
                  <c:v>2.5831430745814306</c:v>
                </c:pt>
                <c:pt idx="3">
                  <c:v>3.0686516996448505</c:v>
                </c:pt>
                <c:pt idx="4">
                  <c:v>3.0977295788939623</c:v>
                </c:pt>
              </c:numCache>
            </c:numRef>
          </c:val>
          <c:smooth val="0"/>
          <c:extLst>
            <c:ext xmlns:c16="http://schemas.microsoft.com/office/drawing/2014/chart" uri="{C3380CC4-5D6E-409C-BE32-E72D297353CC}">
              <c16:uniqueId val="{00000000-D6A1-0E4D-BABE-FEB8E8D1D347}"/>
            </c:ext>
          </c:extLst>
        </c:ser>
        <c:ser>
          <c:idx val="1"/>
          <c:order val="1"/>
          <c:tx>
            <c:strRef>
              <c:f>'CS Horizontal IS'!$I$23</c:f>
              <c:strCache>
                <c:ptCount val="1"/>
                <c:pt idx="0">
                  <c:v>Research and Development</c:v>
                </c:pt>
              </c:strCache>
            </c:strRef>
          </c:tx>
          <c:spPr>
            <a:ln w="28575" cap="rnd">
              <a:solidFill>
                <a:schemeClr val="accent2"/>
              </a:solidFill>
              <a:round/>
            </a:ln>
            <a:effectLst/>
          </c:spPr>
          <c:marker>
            <c:symbol val="none"/>
          </c:marker>
          <c:cat>
            <c:numRef>
              <c:f>'CS Horizontal IS'!$J$21:$N$21</c:f>
              <c:numCache>
                <c:formatCode>General</c:formatCode>
                <c:ptCount val="5"/>
                <c:pt idx="0">
                  <c:v>2020</c:v>
                </c:pt>
                <c:pt idx="1">
                  <c:v>2021</c:v>
                </c:pt>
                <c:pt idx="2">
                  <c:v>2022</c:v>
                </c:pt>
                <c:pt idx="3">
                  <c:v>2023</c:v>
                </c:pt>
                <c:pt idx="4">
                  <c:v>2024</c:v>
                </c:pt>
              </c:numCache>
            </c:numRef>
          </c:cat>
          <c:val>
            <c:numRef>
              <c:f>'CS Horizontal IS'!$J$23:$N$23</c:f>
              <c:numCache>
                <c:formatCode>0.00%</c:formatCode>
                <c:ptCount val="5"/>
                <c:pt idx="0">
                  <c:v>1</c:v>
                </c:pt>
                <c:pt idx="1">
                  <c:v>1.739101274312542</c:v>
                </c:pt>
                <c:pt idx="2">
                  <c:v>2.0623742454728369</c:v>
                </c:pt>
                <c:pt idx="3">
                  <c:v>2.6619718309859155</c:v>
                </c:pt>
                <c:pt idx="4">
                  <c:v>3.0449362843729042</c:v>
                </c:pt>
              </c:numCache>
            </c:numRef>
          </c:val>
          <c:smooth val="0"/>
          <c:extLst>
            <c:ext xmlns:c16="http://schemas.microsoft.com/office/drawing/2014/chart" uri="{C3380CC4-5D6E-409C-BE32-E72D297353CC}">
              <c16:uniqueId val="{00000001-D6A1-0E4D-BABE-FEB8E8D1D347}"/>
            </c:ext>
          </c:extLst>
        </c:ser>
        <c:ser>
          <c:idx val="2"/>
          <c:order val="2"/>
          <c:tx>
            <c:strRef>
              <c:f>'CS Horizontal IS'!$I$24</c:f>
              <c:strCache>
                <c:ptCount val="1"/>
                <c:pt idx="0">
                  <c:v>Selling, General and Administrative</c:v>
                </c:pt>
              </c:strCache>
            </c:strRef>
          </c:tx>
          <c:spPr>
            <a:ln w="28575" cap="rnd">
              <a:solidFill>
                <a:schemeClr val="accent3"/>
              </a:solidFill>
              <a:round/>
            </a:ln>
            <a:effectLst/>
          </c:spPr>
          <c:marker>
            <c:symbol val="none"/>
          </c:marker>
          <c:cat>
            <c:numRef>
              <c:f>'CS Horizontal IS'!$J$21:$N$21</c:f>
              <c:numCache>
                <c:formatCode>General</c:formatCode>
                <c:ptCount val="5"/>
                <c:pt idx="0">
                  <c:v>2020</c:v>
                </c:pt>
                <c:pt idx="1">
                  <c:v>2021</c:v>
                </c:pt>
                <c:pt idx="2">
                  <c:v>2022</c:v>
                </c:pt>
                <c:pt idx="3">
                  <c:v>2023</c:v>
                </c:pt>
                <c:pt idx="4">
                  <c:v>2024</c:v>
                </c:pt>
              </c:numCache>
            </c:numRef>
          </c:cat>
          <c:val>
            <c:numRef>
              <c:f>'CS Horizontal IS'!$J$24:$N$24</c:f>
              <c:numCache>
                <c:formatCode>0.00%</c:formatCode>
                <c:ptCount val="5"/>
                <c:pt idx="0">
                  <c:v>1</c:v>
                </c:pt>
                <c:pt idx="1">
                  <c:v>1.436248012718601</c:v>
                </c:pt>
                <c:pt idx="2">
                  <c:v>1.2546899841017487</c:v>
                </c:pt>
                <c:pt idx="3">
                  <c:v>1.5262321144674087</c:v>
                </c:pt>
                <c:pt idx="4">
                  <c:v>1.6375198728139904</c:v>
                </c:pt>
              </c:numCache>
            </c:numRef>
          </c:val>
          <c:smooth val="0"/>
          <c:extLst>
            <c:ext xmlns:c16="http://schemas.microsoft.com/office/drawing/2014/chart" uri="{C3380CC4-5D6E-409C-BE32-E72D297353CC}">
              <c16:uniqueId val="{00000002-D6A1-0E4D-BABE-FEB8E8D1D347}"/>
            </c:ext>
          </c:extLst>
        </c:ser>
        <c:dLbls>
          <c:showLegendKey val="0"/>
          <c:showVal val="0"/>
          <c:showCatName val="0"/>
          <c:showSerName val="0"/>
          <c:showPercent val="0"/>
          <c:showBubbleSize val="0"/>
        </c:dLbls>
        <c:smooth val="0"/>
        <c:axId val="763305775"/>
        <c:axId val="673433376"/>
      </c:lineChart>
      <c:catAx>
        <c:axId val="76330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33376"/>
        <c:crosses val="autoZero"/>
        <c:auto val="1"/>
        <c:lblAlgn val="ctr"/>
        <c:lblOffset val="100"/>
        <c:noMultiLvlLbl val="0"/>
      </c:catAx>
      <c:valAx>
        <c:axId val="673433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30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Tesla: Growth of Assets, Liabilities &amp; Total Equity (2020=100)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'CS Horizontal BS'!$H$5</c:f>
              <c:strCache>
                <c:ptCount val="1"/>
                <c:pt idx="0">
                  <c:v>Total Assets</c:v>
                </c:pt>
              </c:strCache>
            </c:strRef>
          </c:tx>
          <c:spPr>
            <a:ln w="28575" cap="rnd">
              <a:solidFill>
                <a:schemeClr val="accent1"/>
              </a:solidFill>
              <a:round/>
            </a:ln>
            <a:effectLst/>
          </c:spPr>
          <c:marker>
            <c:symbol val="none"/>
          </c:marker>
          <c:cat>
            <c:numRef>
              <c:f>'CS Horizontal BS'!$I$4:$M$4</c:f>
              <c:numCache>
                <c:formatCode>General</c:formatCode>
                <c:ptCount val="5"/>
                <c:pt idx="0">
                  <c:v>2020</c:v>
                </c:pt>
                <c:pt idx="1">
                  <c:v>2021</c:v>
                </c:pt>
                <c:pt idx="2">
                  <c:v>2022</c:v>
                </c:pt>
                <c:pt idx="3">
                  <c:v>2023</c:v>
                </c:pt>
                <c:pt idx="4">
                  <c:v>2024</c:v>
                </c:pt>
              </c:numCache>
            </c:numRef>
          </c:cat>
          <c:val>
            <c:numRef>
              <c:f>'CS Horizontal BS'!$I$5:$M$5</c:f>
              <c:numCache>
                <c:formatCode>0.00%</c:formatCode>
                <c:ptCount val="5"/>
                <c:pt idx="0">
                  <c:v>1</c:v>
                </c:pt>
                <c:pt idx="1">
                  <c:v>1.1914359131702079</c:v>
                </c:pt>
                <c:pt idx="2">
                  <c:v>1.5789292015034133</c:v>
                </c:pt>
                <c:pt idx="3">
                  <c:v>2.04452711513385</c:v>
                </c:pt>
                <c:pt idx="4">
                  <c:v>2.3408376160159547</c:v>
                </c:pt>
              </c:numCache>
            </c:numRef>
          </c:val>
          <c:smooth val="0"/>
          <c:extLst>
            <c:ext xmlns:c16="http://schemas.microsoft.com/office/drawing/2014/chart" uri="{C3380CC4-5D6E-409C-BE32-E72D297353CC}">
              <c16:uniqueId val="{00000000-D8FF-8047-827E-D126002B9B2A}"/>
            </c:ext>
          </c:extLst>
        </c:ser>
        <c:ser>
          <c:idx val="1"/>
          <c:order val="1"/>
          <c:tx>
            <c:strRef>
              <c:f>'CS Horizontal BS'!$H$6</c:f>
              <c:strCache>
                <c:ptCount val="1"/>
                <c:pt idx="0">
                  <c:v>Total Equity (incl. Noncontrolling)</c:v>
                </c:pt>
              </c:strCache>
            </c:strRef>
          </c:tx>
          <c:spPr>
            <a:ln w="28575" cap="rnd">
              <a:solidFill>
                <a:schemeClr val="accent2"/>
              </a:solidFill>
              <a:round/>
            </a:ln>
            <a:effectLst/>
          </c:spPr>
          <c:marker>
            <c:symbol val="none"/>
          </c:marker>
          <c:cat>
            <c:numRef>
              <c:f>'CS Horizontal BS'!$I$4:$M$4</c:f>
              <c:numCache>
                <c:formatCode>General</c:formatCode>
                <c:ptCount val="5"/>
                <c:pt idx="0">
                  <c:v>2020</c:v>
                </c:pt>
                <c:pt idx="1">
                  <c:v>2021</c:v>
                </c:pt>
                <c:pt idx="2">
                  <c:v>2022</c:v>
                </c:pt>
                <c:pt idx="3">
                  <c:v>2023</c:v>
                </c:pt>
                <c:pt idx="4">
                  <c:v>2024</c:v>
                </c:pt>
              </c:numCache>
            </c:numRef>
          </c:cat>
          <c:val>
            <c:numRef>
              <c:f>'CS Horizontal BS'!$I$6:$M$6</c:f>
              <c:numCache>
                <c:formatCode>0.00%</c:formatCode>
                <c:ptCount val="5"/>
                <c:pt idx="0">
                  <c:v>1</c:v>
                </c:pt>
                <c:pt idx="1">
                  <c:v>1.3337978799780397</c:v>
                </c:pt>
                <c:pt idx="2">
                  <c:v>1.9383419907935302</c:v>
                </c:pt>
                <c:pt idx="3">
                  <c:v>2.6863043202837957</c:v>
                </c:pt>
                <c:pt idx="4">
                  <c:v>3.1116178892689725</c:v>
                </c:pt>
              </c:numCache>
            </c:numRef>
          </c:val>
          <c:smooth val="0"/>
          <c:extLst>
            <c:ext xmlns:c16="http://schemas.microsoft.com/office/drawing/2014/chart" uri="{C3380CC4-5D6E-409C-BE32-E72D297353CC}">
              <c16:uniqueId val="{00000001-D8FF-8047-827E-D126002B9B2A}"/>
            </c:ext>
          </c:extLst>
        </c:ser>
        <c:ser>
          <c:idx val="2"/>
          <c:order val="2"/>
          <c:tx>
            <c:strRef>
              <c:f>'CS Horizontal BS'!$H$7</c:f>
              <c:strCache>
                <c:ptCount val="1"/>
                <c:pt idx="0">
                  <c:v>Total Liabilities</c:v>
                </c:pt>
              </c:strCache>
            </c:strRef>
          </c:tx>
          <c:spPr>
            <a:ln w="28575" cap="rnd">
              <a:solidFill>
                <a:schemeClr val="accent3"/>
              </a:solidFill>
              <a:round/>
            </a:ln>
            <a:effectLst/>
          </c:spPr>
          <c:marker>
            <c:symbol val="none"/>
          </c:marker>
          <c:cat>
            <c:numRef>
              <c:f>'CS Horizontal BS'!$I$4:$M$4</c:f>
              <c:numCache>
                <c:formatCode>General</c:formatCode>
                <c:ptCount val="5"/>
                <c:pt idx="0">
                  <c:v>2020</c:v>
                </c:pt>
                <c:pt idx="1">
                  <c:v>2021</c:v>
                </c:pt>
                <c:pt idx="2">
                  <c:v>2022</c:v>
                </c:pt>
                <c:pt idx="3">
                  <c:v>2023</c:v>
                </c:pt>
                <c:pt idx="4">
                  <c:v>2024</c:v>
                </c:pt>
              </c:numCache>
            </c:numRef>
          </c:cat>
          <c:val>
            <c:numRef>
              <c:f>'CS Horizontal BS'!$I$7:$M$7</c:f>
              <c:numCache>
                <c:formatCode>0.00%</c:formatCode>
                <c:ptCount val="5"/>
                <c:pt idx="0">
                  <c:v>1</c:v>
                </c:pt>
                <c:pt idx="1">
                  <c:v>1.0730268010818786</c:v>
                </c:pt>
                <c:pt idx="2">
                  <c:v>1.2799887597035371</c:v>
                </c:pt>
                <c:pt idx="3">
                  <c:v>1.5107309705293477</c:v>
                </c:pt>
                <c:pt idx="4">
                  <c:v>1.6997435807369419</c:v>
                </c:pt>
              </c:numCache>
            </c:numRef>
          </c:val>
          <c:smooth val="0"/>
          <c:extLst>
            <c:ext xmlns:c16="http://schemas.microsoft.com/office/drawing/2014/chart" uri="{C3380CC4-5D6E-409C-BE32-E72D297353CC}">
              <c16:uniqueId val="{00000002-D8FF-8047-827E-D126002B9B2A}"/>
            </c:ext>
          </c:extLst>
        </c:ser>
        <c:dLbls>
          <c:showLegendKey val="0"/>
          <c:showVal val="0"/>
          <c:showCatName val="0"/>
          <c:showSerName val="0"/>
          <c:showPercent val="0"/>
          <c:showBubbleSize val="0"/>
        </c:dLbls>
        <c:smooth val="0"/>
        <c:axId val="747877871"/>
        <c:axId val="526737551"/>
      </c:lineChart>
      <c:catAx>
        <c:axId val="74787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37551"/>
        <c:crosses val="autoZero"/>
        <c:auto val="1"/>
        <c:lblAlgn val="ctr"/>
        <c:lblOffset val="100"/>
        <c:noMultiLvlLbl val="0"/>
      </c:catAx>
      <c:valAx>
        <c:axId val="526737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877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Share between Automotive and Energy+Servicing division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'Revenue Share'!$N$3</c:f>
              <c:strCache>
                <c:ptCount val="1"/>
                <c:pt idx="0">
                  <c:v>Total automotive revenues - share</c:v>
                </c:pt>
              </c:strCache>
            </c:strRef>
          </c:tx>
          <c:spPr>
            <a:ln w="28575" cap="rnd">
              <a:solidFill>
                <a:schemeClr val="accent1"/>
              </a:solidFill>
              <a:round/>
            </a:ln>
            <a:effectLst/>
          </c:spPr>
          <c:marker>
            <c:symbol val="none"/>
          </c:marker>
          <c:cat>
            <c:strRef>
              <c:f>'Revenue Share'!$O$2:$X$2</c:f>
              <c:strCache>
                <c:ptCount val="10"/>
                <c:pt idx="0">
                  <c:v>Q4 - 2023</c:v>
                </c:pt>
                <c:pt idx="1">
                  <c:v>Q1 - 2023</c:v>
                </c:pt>
                <c:pt idx="2">
                  <c:v>Q2 - 2023</c:v>
                </c:pt>
                <c:pt idx="3">
                  <c:v>Q3 - 2022</c:v>
                </c:pt>
                <c:pt idx="4">
                  <c:v>Q4 - 2024</c:v>
                </c:pt>
                <c:pt idx="5">
                  <c:v>Q1 - 2024</c:v>
                </c:pt>
                <c:pt idx="6">
                  <c:v>Q2 - 2024</c:v>
                </c:pt>
                <c:pt idx="7">
                  <c:v>Q3 - 2024</c:v>
                </c:pt>
                <c:pt idx="8">
                  <c:v>Q4 - 2024</c:v>
                </c:pt>
                <c:pt idx="9">
                  <c:v>Q1 - 2025</c:v>
                </c:pt>
              </c:strCache>
            </c:strRef>
          </c:cat>
          <c:val>
            <c:numRef>
              <c:f>'Revenue Share'!$O$3:$X$3</c:f>
              <c:numCache>
                <c:formatCode>0.00%</c:formatCode>
                <c:ptCount val="10"/>
                <c:pt idx="0">
                  <c:v>0.9133267606841271</c:v>
                </c:pt>
                <c:pt idx="1">
                  <c:v>0.85477594576162397</c:v>
                </c:pt>
                <c:pt idx="2">
                  <c:v>0.85321137722148677</c:v>
                </c:pt>
                <c:pt idx="3">
                  <c:v>0.84047109207708781</c:v>
                </c:pt>
                <c:pt idx="4">
                  <c:v>0.8567965987205467</c:v>
                </c:pt>
                <c:pt idx="5">
                  <c:v>0.81583024271160975</c:v>
                </c:pt>
                <c:pt idx="6">
                  <c:v>0.77952941176470592</c:v>
                </c:pt>
                <c:pt idx="7">
                  <c:v>0.79485346676197288</c:v>
                </c:pt>
                <c:pt idx="8">
                  <c:v>0.77014042867701404</c:v>
                </c:pt>
                <c:pt idx="9">
                  <c:v>0.72236876131367989</c:v>
                </c:pt>
              </c:numCache>
            </c:numRef>
          </c:val>
          <c:smooth val="0"/>
          <c:extLst>
            <c:ext xmlns:c16="http://schemas.microsoft.com/office/drawing/2014/chart" uri="{C3380CC4-5D6E-409C-BE32-E72D297353CC}">
              <c16:uniqueId val="{00000000-93F5-B84D-A366-7195DA933976}"/>
            </c:ext>
          </c:extLst>
        </c:ser>
        <c:ser>
          <c:idx val="1"/>
          <c:order val="1"/>
          <c:tx>
            <c:strRef>
              <c:f>'Revenue Share'!$N$4</c:f>
              <c:strCache>
                <c:ptCount val="1"/>
                <c:pt idx="0">
                  <c:v>Energy generation and storage revenue &amp; Servicing  - revenue share</c:v>
                </c:pt>
              </c:strCache>
            </c:strRef>
          </c:tx>
          <c:spPr>
            <a:ln w="28575" cap="rnd">
              <a:solidFill>
                <a:schemeClr val="accent2"/>
              </a:solidFill>
              <a:round/>
            </a:ln>
            <a:effectLst/>
          </c:spPr>
          <c:marker>
            <c:symbol val="none"/>
          </c:marker>
          <c:cat>
            <c:strRef>
              <c:f>'Revenue Share'!$O$2:$X$2</c:f>
              <c:strCache>
                <c:ptCount val="10"/>
                <c:pt idx="0">
                  <c:v>Q4 - 2023</c:v>
                </c:pt>
                <c:pt idx="1">
                  <c:v>Q1 - 2023</c:v>
                </c:pt>
                <c:pt idx="2">
                  <c:v>Q2 - 2023</c:v>
                </c:pt>
                <c:pt idx="3">
                  <c:v>Q3 - 2022</c:v>
                </c:pt>
                <c:pt idx="4">
                  <c:v>Q4 - 2024</c:v>
                </c:pt>
                <c:pt idx="5">
                  <c:v>Q1 - 2024</c:v>
                </c:pt>
                <c:pt idx="6">
                  <c:v>Q2 - 2024</c:v>
                </c:pt>
                <c:pt idx="7">
                  <c:v>Q3 - 2024</c:v>
                </c:pt>
                <c:pt idx="8">
                  <c:v>Q4 - 2024</c:v>
                </c:pt>
                <c:pt idx="9">
                  <c:v>Q1 - 2025</c:v>
                </c:pt>
              </c:strCache>
            </c:strRef>
          </c:cat>
          <c:val>
            <c:numRef>
              <c:f>'Revenue Share'!$O$4:$X$4</c:f>
              <c:numCache>
                <c:formatCode>0.00%</c:formatCode>
                <c:ptCount val="10"/>
                <c:pt idx="0">
                  <c:v>8.6673239315872896E-2</c:v>
                </c:pt>
                <c:pt idx="1">
                  <c:v>0.14522405423837603</c:v>
                </c:pt>
                <c:pt idx="2">
                  <c:v>0.14678862277851323</c:v>
                </c:pt>
                <c:pt idx="3">
                  <c:v>0.15952890792291219</c:v>
                </c:pt>
                <c:pt idx="4">
                  <c:v>0.1432034012794533</c:v>
                </c:pt>
                <c:pt idx="5">
                  <c:v>0.18416975728839025</c:v>
                </c:pt>
                <c:pt idx="6">
                  <c:v>0.22047058823529408</c:v>
                </c:pt>
                <c:pt idx="7">
                  <c:v>0.20514653323802712</c:v>
                </c:pt>
                <c:pt idx="8">
                  <c:v>0.22985957132298596</c:v>
                </c:pt>
                <c:pt idx="9">
                  <c:v>0.27763123868632011</c:v>
                </c:pt>
              </c:numCache>
            </c:numRef>
          </c:val>
          <c:smooth val="0"/>
          <c:extLst>
            <c:ext xmlns:c16="http://schemas.microsoft.com/office/drawing/2014/chart" uri="{C3380CC4-5D6E-409C-BE32-E72D297353CC}">
              <c16:uniqueId val="{00000001-93F5-B84D-A366-7195DA933976}"/>
            </c:ext>
          </c:extLst>
        </c:ser>
        <c:dLbls>
          <c:showLegendKey val="0"/>
          <c:showVal val="0"/>
          <c:showCatName val="0"/>
          <c:showSerName val="0"/>
          <c:showPercent val="0"/>
          <c:showBubbleSize val="0"/>
        </c:dLbls>
        <c:smooth val="0"/>
        <c:axId val="507432399"/>
        <c:axId val="507351471"/>
      </c:lineChart>
      <c:catAx>
        <c:axId val="50743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51471"/>
        <c:crosses val="autoZero"/>
        <c:auto val="1"/>
        <c:lblAlgn val="ctr"/>
        <c:lblOffset val="100"/>
        <c:noMultiLvlLbl val="0"/>
      </c:catAx>
      <c:valAx>
        <c:axId val="5073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3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'Revenue Share'!$O$28:$O$29</c:f>
              <c:strCache>
                <c:ptCount val="2"/>
                <c:pt idx="0">
                  <c:v>2022</c:v>
                </c:pt>
                <c:pt idx="1">
                  <c:v>Q1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7A-EB46-90E3-39902C56B3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7A-EB46-90E3-39902C56B3F5}"/>
              </c:ext>
            </c:extLst>
          </c:dPt>
          <c:cat>
            <c:strRef>
              <c:f>'Revenue Share'!$N$30:$N$31</c:f>
              <c:strCache>
                <c:ptCount val="2"/>
                <c:pt idx="0">
                  <c:v>Total automotive revenues
(Car Sales + Sales of regulatory credits)</c:v>
                </c:pt>
                <c:pt idx="1">
                  <c:v>Energy and Servicing revenue </c:v>
                </c:pt>
              </c:strCache>
            </c:strRef>
          </c:cat>
          <c:val>
            <c:numRef>
              <c:f>'Revenue Share'!$O$30:$O$31</c:f>
              <c:numCache>
                <c:formatCode>#,##0</c:formatCode>
                <c:ptCount val="2"/>
                <c:pt idx="0">
                  <c:v>21307</c:v>
                </c:pt>
                <c:pt idx="1">
                  <c:v>3366</c:v>
                </c:pt>
              </c:numCache>
            </c:numRef>
          </c:val>
          <c:extLst>
            <c:ext xmlns:c16="http://schemas.microsoft.com/office/drawing/2014/chart" uri="{C3380CC4-5D6E-409C-BE32-E72D297353CC}">
              <c16:uniqueId val="{00000000-6C5D-E64D-9E9E-8EA70127682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'Revenue Share'!$T$28:$T$29</c:f>
              <c:strCache>
                <c:ptCount val="2"/>
                <c:pt idx="0">
                  <c:v>2025</c:v>
                </c:pt>
                <c:pt idx="1">
                  <c:v>Q1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39-3F4B-A71E-4F562A7DFA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39-3F4B-A71E-4F562A7DFA34}"/>
              </c:ext>
            </c:extLst>
          </c:dPt>
          <c:cat>
            <c:strRef>
              <c:f>'Revenue Share'!$S$30:$S$31</c:f>
              <c:strCache>
                <c:ptCount val="2"/>
                <c:pt idx="0">
                  <c:v>Total automotive revenues
(Car Sales + Sales of regulatory credits)</c:v>
                </c:pt>
                <c:pt idx="1">
                  <c:v>Energy and Servicing revenue </c:v>
                </c:pt>
              </c:strCache>
            </c:strRef>
          </c:cat>
          <c:val>
            <c:numRef>
              <c:f>'Revenue Share'!$T$30:$T$31</c:f>
              <c:numCache>
                <c:formatCode>#,##0</c:formatCode>
                <c:ptCount val="2"/>
                <c:pt idx="0">
                  <c:v>13967</c:v>
                </c:pt>
                <c:pt idx="1">
                  <c:v>5368</c:v>
                </c:pt>
              </c:numCache>
            </c:numRef>
          </c:val>
          <c:extLst>
            <c:ext xmlns:c16="http://schemas.microsoft.com/office/drawing/2014/chart" uri="{C3380CC4-5D6E-409C-BE32-E72D297353CC}">
              <c16:uniqueId val="{00000000-244C-D441-A02E-A6C30A9D205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Growth of Tesla and its</a:t>
            </a:r>
            <a:r>
              <a:rPr lang="en-GB" baseline="0"/>
              <a:t> Competitors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'Plan - Sales'!$A$3</c:f>
              <c:strCache>
                <c:ptCount val="1"/>
                <c:pt idx="0">
                  <c:v>Tesla Inc.</c:v>
                </c:pt>
              </c:strCache>
            </c:strRef>
          </c:tx>
          <c:spPr>
            <a:ln w="28575" cap="rnd">
              <a:solidFill>
                <a:schemeClr val="accent1"/>
              </a:solidFill>
              <a:round/>
            </a:ln>
            <a:effectLst/>
          </c:spPr>
          <c:marker>
            <c:symbol val="none"/>
          </c:marker>
          <c:cat>
            <c:numRef>
              <c:f>'Plan - Sales'!$B$2:$K$2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'Plan - Sales'!$B$3:$K$3</c:f>
              <c:numCache>
                <c:formatCode>#,##0</c:formatCode>
                <c:ptCount val="10"/>
                <c:pt idx="0">
                  <c:v>4046.0250000000001</c:v>
                </c:pt>
                <c:pt idx="1">
                  <c:v>7000.1319999999996</c:v>
                </c:pt>
                <c:pt idx="2">
                  <c:v>11759</c:v>
                </c:pt>
                <c:pt idx="3">
                  <c:v>21461</c:v>
                </c:pt>
                <c:pt idx="4">
                  <c:v>24578</c:v>
                </c:pt>
                <c:pt idx="5">
                  <c:v>31536</c:v>
                </c:pt>
                <c:pt idx="6">
                  <c:v>53823</c:v>
                </c:pt>
                <c:pt idx="7">
                  <c:v>81462</c:v>
                </c:pt>
                <c:pt idx="8">
                  <c:v>96773</c:v>
                </c:pt>
                <c:pt idx="9">
                  <c:v>97690</c:v>
                </c:pt>
              </c:numCache>
            </c:numRef>
          </c:val>
          <c:smooth val="0"/>
          <c:extLst>
            <c:ext xmlns:c16="http://schemas.microsoft.com/office/drawing/2014/chart" uri="{C3380CC4-5D6E-409C-BE32-E72D297353CC}">
              <c16:uniqueId val="{00000000-766E-DC47-81EB-9E7B387FF5E1}"/>
            </c:ext>
          </c:extLst>
        </c:ser>
        <c:ser>
          <c:idx val="1"/>
          <c:order val="1"/>
          <c:tx>
            <c:strRef>
              <c:f>'Plan - Sales'!$A$4</c:f>
              <c:strCache>
                <c:ptCount val="1"/>
                <c:pt idx="0">
                  <c:v>Ford Motor Company</c:v>
                </c:pt>
              </c:strCache>
            </c:strRef>
          </c:tx>
          <c:spPr>
            <a:ln w="28575" cap="rnd">
              <a:solidFill>
                <a:schemeClr val="accent2"/>
              </a:solidFill>
              <a:round/>
            </a:ln>
            <a:effectLst/>
          </c:spPr>
          <c:marker>
            <c:symbol val="none"/>
          </c:marker>
          <c:cat>
            <c:numRef>
              <c:f>'Plan - Sales'!$B$2:$K$2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'Plan - Sales'!$B$4:$K$4</c:f>
              <c:numCache>
                <c:formatCode>#,##0</c:formatCode>
                <c:ptCount val="10"/>
                <c:pt idx="0">
                  <c:v>149558</c:v>
                </c:pt>
                <c:pt idx="1">
                  <c:v>151800</c:v>
                </c:pt>
                <c:pt idx="2">
                  <c:v>156776</c:v>
                </c:pt>
                <c:pt idx="3">
                  <c:v>160338</c:v>
                </c:pt>
                <c:pt idx="4">
                  <c:v>155900</c:v>
                </c:pt>
                <c:pt idx="5">
                  <c:v>127144</c:v>
                </c:pt>
                <c:pt idx="6">
                  <c:v>136341</c:v>
                </c:pt>
                <c:pt idx="7">
                  <c:v>158057</c:v>
                </c:pt>
                <c:pt idx="8">
                  <c:v>176191</c:v>
                </c:pt>
                <c:pt idx="9">
                  <c:v>184992</c:v>
                </c:pt>
              </c:numCache>
            </c:numRef>
          </c:val>
          <c:smooth val="0"/>
          <c:extLst>
            <c:ext xmlns:c16="http://schemas.microsoft.com/office/drawing/2014/chart" uri="{C3380CC4-5D6E-409C-BE32-E72D297353CC}">
              <c16:uniqueId val="{00000001-766E-DC47-81EB-9E7B387FF5E1}"/>
            </c:ext>
          </c:extLst>
        </c:ser>
        <c:ser>
          <c:idx val="2"/>
          <c:order val="2"/>
          <c:tx>
            <c:strRef>
              <c:f>'Plan - Sales'!$A$5</c:f>
              <c:strCache>
                <c:ptCount val="1"/>
                <c:pt idx="0">
                  <c:v>Volkswagen Group</c:v>
                </c:pt>
              </c:strCache>
            </c:strRef>
          </c:tx>
          <c:spPr>
            <a:ln w="28575" cap="rnd">
              <a:solidFill>
                <a:schemeClr val="accent3"/>
              </a:solidFill>
              <a:round/>
            </a:ln>
            <a:effectLst/>
          </c:spPr>
          <c:marker>
            <c:symbol val="none"/>
          </c:marker>
          <c:cat>
            <c:numRef>
              <c:f>'Plan - Sales'!$B$2:$K$2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'Plan - Sales'!$B$5:$K$5</c:f>
              <c:numCache>
                <c:formatCode>#,##0</c:formatCode>
                <c:ptCount val="10"/>
                <c:pt idx="0">
                  <c:v>228160</c:v>
                </c:pt>
                <c:pt idx="1">
                  <c:v>231080</c:v>
                </c:pt>
                <c:pt idx="2">
                  <c:v>258000</c:v>
                </c:pt>
                <c:pt idx="3">
                  <c:v>278340</c:v>
                </c:pt>
                <c:pt idx="4">
                  <c:v>275740</c:v>
                </c:pt>
                <c:pt idx="5">
                  <c:v>245610</c:v>
                </c:pt>
                <c:pt idx="6">
                  <c:v>296010</c:v>
                </c:pt>
                <c:pt idx="7">
                  <c:v>294200</c:v>
                </c:pt>
                <c:pt idx="8">
                  <c:v>348810</c:v>
                </c:pt>
                <c:pt idx="9">
                  <c:v>351310</c:v>
                </c:pt>
              </c:numCache>
            </c:numRef>
          </c:val>
          <c:smooth val="0"/>
          <c:extLst>
            <c:ext xmlns:c16="http://schemas.microsoft.com/office/drawing/2014/chart" uri="{C3380CC4-5D6E-409C-BE32-E72D297353CC}">
              <c16:uniqueId val="{00000002-766E-DC47-81EB-9E7B387FF5E1}"/>
            </c:ext>
          </c:extLst>
        </c:ser>
        <c:ser>
          <c:idx val="3"/>
          <c:order val="3"/>
          <c:tx>
            <c:strRef>
              <c:f>'Plan - Sales'!$A$6</c:f>
              <c:strCache>
                <c:ptCount val="1"/>
                <c:pt idx="0">
                  <c:v>General Motors</c:v>
                </c:pt>
              </c:strCache>
            </c:strRef>
          </c:tx>
          <c:spPr>
            <a:ln w="28575" cap="rnd">
              <a:solidFill>
                <a:schemeClr val="accent4"/>
              </a:solidFill>
              <a:round/>
            </a:ln>
            <a:effectLst/>
          </c:spPr>
          <c:marker>
            <c:symbol val="none"/>
          </c:marker>
          <c:cat>
            <c:numRef>
              <c:f>'Plan - Sales'!$B$2:$K$2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'Plan - Sales'!$B$6:$K$6</c:f>
              <c:numCache>
                <c:formatCode>#,##0</c:formatCode>
                <c:ptCount val="10"/>
                <c:pt idx="0">
                  <c:v>152360</c:v>
                </c:pt>
                <c:pt idx="1">
                  <c:v>166380</c:v>
                </c:pt>
                <c:pt idx="2">
                  <c:v>145590</c:v>
                </c:pt>
                <c:pt idx="3">
                  <c:v>147050</c:v>
                </c:pt>
                <c:pt idx="4">
                  <c:v>137240</c:v>
                </c:pt>
                <c:pt idx="5">
                  <c:v>122490</c:v>
                </c:pt>
                <c:pt idx="6">
                  <c:v>127004</c:v>
                </c:pt>
                <c:pt idx="7">
                  <c:v>156735</c:v>
                </c:pt>
                <c:pt idx="8">
                  <c:v>171842</c:v>
                </c:pt>
                <c:pt idx="9">
                  <c:v>187442</c:v>
                </c:pt>
              </c:numCache>
            </c:numRef>
          </c:val>
          <c:smooth val="0"/>
          <c:extLst>
            <c:ext xmlns:c16="http://schemas.microsoft.com/office/drawing/2014/chart" uri="{C3380CC4-5D6E-409C-BE32-E72D297353CC}">
              <c16:uniqueId val="{00000003-766E-DC47-81EB-9E7B387FF5E1}"/>
            </c:ext>
          </c:extLst>
        </c:ser>
        <c:dLbls>
          <c:showLegendKey val="0"/>
          <c:showVal val="0"/>
          <c:showCatName val="0"/>
          <c:showSerName val="0"/>
          <c:showPercent val="0"/>
          <c:showBubbleSize val="0"/>
        </c:dLbls>
        <c:smooth val="0"/>
        <c:axId val="837381632"/>
        <c:axId val="657421088"/>
      </c:lineChart>
      <c:catAx>
        <c:axId val="83738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21088"/>
        <c:crosses val="autoZero"/>
        <c:auto val="1"/>
        <c:lblAlgn val="ctr"/>
        <c:lblOffset val="100"/>
        <c:noMultiLvlLbl val="0"/>
      </c:catAx>
      <c:valAx>
        <c:axId val="657421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81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PROJECTED Tesla Revenue (in millions of USD) - PESSIMISTIC 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'Plan - Sales'!$AB$12</c:f>
              <c:strCache>
                <c:ptCount val="1"/>
                <c:pt idx="0">
                  <c:v>Revenue(in mil USD)</c:v>
                </c:pt>
              </c:strCache>
            </c:strRef>
          </c:tx>
          <c:spPr>
            <a:ln w="28575" cap="rnd">
              <a:solidFill>
                <a:schemeClr val="accent1"/>
              </a:solidFill>
              <a:round/>
            </a:ln>
            <a:effectLst/>
          </c:spPr>
          <c:marker>
            <c:symbol val="none"/>
          </c:marker>
          <c:cat>
            <c:strRef>
              <c:f>'Plan - Sales'!$AC$11:$AQ$11</c:f>
              <c:strCache>
                <c:ptCount val="15"/>
                <c:pt idx="0">
                  <c:v>2015</c:v>
                </c:pt>
                <c:pt idx="1">
                  <c:v>2016</c:v>
                </c:pt>
                <c:pt idx="2">
                  <c:v>2017</c:v>
                </c:pt>
                <c:pt idx="3">
                  <c:v>2018</c:v>
                </c:pt>
                <c:pt idx="4">
                  <c:v>2019</c:v>
                </c:pt>
                <c:pt idx="5">
                  <c:v>2020</c:v>
                </c:pt>
                <c:pt idx="6">
                  <c:v>2021</c:v>
                </c:pt>
                <c:pt idx="7">
                  <c:v>2022</c:v>
                </c:pt>
                <c:pt idx="8">
                  <c:v>2023</c:v>
                </c:pt>
                <c:pt idx="9">
                  <c:v>2024</c:v>
                </c:pt>
                <c:pt idx="10">
                  <c:v>2025E</c:v>
                </c:pt>
                <c:pt idx="11">
                  <c:v>2026E</c:v>
                </c:pt>
                <c:pt idx="12">
                  <c:v>2027E</c:v>
                </c:pt>
                <c:pt idx="13">
                  <c:v>2028E</c:v>
                </c:pt>
                <c:pt idx="14">
                  <c:v>2029E</c:v>
                </c:pt>
              </c:strCache>
            </c:strRef>
          </c:cat>
          <c:val>
            <c:numRef>
              <c:f>'Plan - Sales'!$AC$12:$AQ$12</c:f>
              <c:numCache>
                <c:formatCode>#,##0</c:formatCode>
                <c:ptCount val="15"/>
                <c:pt idx="0">
                  <c:v>4046.0250000000001</c:v>
                </c:pt>
                <c:pt idx="1">
                  <c:v>7000.1319999999996</c:v>
                </c:pt>
                <c:pt idx="2">
                  <c:v>11759</c:v>
                </c:pt>
                <c:pt idx="3">
                  <c:v>21461</c:v>
                </c:pt>
                <c:pt idx="4">
                  <c:v>24578</c:v>
                </c:pt>
                <c:pt idx="5">
                  <c:v>31536</c:v>
                </c:pt>
                <c:pt idx="6">
                  <c:v>53823</c:v>
                </c:pt>
                <c:pt idx="7">
                  <c:v>81462</c:v>
                </c:pt>
                <c:pt idx="8">
                  <c:v>96773</c:v>
                </c:pt>
                <c:pt idx="9">
                  <c:v>97690</c:v>
                </c:pt>
                <c:pt idx="10">
                  <c:v>90363.25</c:v>
                </c:pt>
                <c:pt idx="11">
                  <c:v>90363.25</c:v>
                </c:pt>
                <c:pt idx="12">
                  <c:v>94881.412500000006</c:v>
                </c:pt>
                <c:pt idx="13">
                  <c:v>97253.447812500002</c:v>
                </c:pt>
                <c:pt idx="14">
                  <c:v>99684.784007812501</c:v>
                </c:pt>
              </c:numCache>
            </c:numRef>
          </c:val>
          <c:smooth val="0"/>
          <c:extLst>
            <c:ext xmlns:c16="http://schemas.microsoft.com/office/drawing/2014/chart" uri="{C3380CC4-5D6E-409C-BE32-E72D297353CC}">
              <c16:uniqueId val="{00000000-947D-5345-9D7D-DFB2C9A14C23}"/>
            </c:ext>
          </c:extLst>
        </c:ser>
        <c:dLbls>
          <c:showLegendKey val="0"/>
          <c:showVal val="0"/>
          <c:showCatName val="0"/>
          <c:showSerName val="0"/>
          <c:showPercent val="0"/>
          <c:showBubbleSize val="0"/>
        </c:dLbls>
        <c:smooth val="0"/>
        <c:axId val="700914368"/>
        <c:axId val="1922057824"/>
      </c:lineChart>
      <c:catAx>
        <c:axId val="7009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057824"/>
        <c:crosses val="autoZero"/>
        <c:auto val="1"/>
        <c:lblAlgn val="ctr"/>
        <c:lblOffset val="100"/>
        <c:noMultiLvlLbl val="0"/>
      </c:catAx>
      <c:valAx>
        <c:axId val="1922057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1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PROJECTED Tesla Revenue (in millions of USD) - OPTIMISTIC 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'Plan - Sales'!$AB$25</c:f>
              <c:strCache>
                <c:ptCount val="1"/>
                <c:pt idx="0">
                  <c:v>Revenue</c:v>
                </c:pt>
              </c:strCache>
            </c:strRef>
          </c:tx>
          <c:spPr>
            <a:ln w="28575" cap="rnd">
              <a:solidFill>
                <a:schemeClr val="accent1"/>
              </a:solidFill>
              <a:round/>
            </a:ln>
            <a:effectLst/>
          </c:spPr>
          <c:marker>
            <c:symbol val="none"/>
          </c:marker>
          <c:cat>
            <c:strRef>
              <c:f>'Plan - Sales'!$AC$16:$AQ$16</c:f>
              <c:strCache>
                <c:ptCount val="15"/>
                <c:pt idx="0">
                  <c:v>2015</c:v>
                </c:pt>
                <c:pt idx="1">
                  <c:v>2016</c:v>
                </c:pt>
                <c:pt idx="2">
                  <c:v>2017</c:v>
                </c:pt>
                <c:pt idx="3">
                  <c:v>2018</c:v>
                </c:pt>
                <c:pt idx="4">
                  <c:v>2019</c:v>
                </c:pt>
                <c:pt idx="5">
                  <c:v>2020</c:v>
                </c:pt>
                <c:pt idx="6">
                  <c:v>2021</c:v>
                </c:pt>
                <c:pt idx="7">
                  <c:v>2022</c:v>
                </c:pt>
                <c:pt idx="8">
                  <c:v>2023</c:v>
                </c:pt>
                <c:pt idx="9">
                  <c:v>2024</c:v>
                </c:pt>
                <c:pt idx="10">
                  <c:v>2025E</c:v>
                </c:pt>
                <c:pt idx="11">
                  <c:v>2026E</c:v>
                </c:pt>
                <c:pt idx="12">
                  <c:v>2027E</c:v>
                </c:pt>
                <c:pt idx="13">
                  <c:v>2028E</c:v>
                </c:pt>
                <c:pt idx="14">
                  <c:v>2029E</c:v>
                </c:pt>
              </c:strCache>
            </c:strRef>
          </c:cat>
          <c:val>
            <c:numRef>
              <c:f>'Plan - Sales'!$AC$17:$AQ$17</c:f>
              <c:numCache>
                <c:formatCode>#,##0</c:formatCode>
                <c:ptCount val="15"/>
                <c:pt idx="0">
                  <c:v>4046.0250000000001</c:v>
                </c:pt>
                <c:pt idx="1">
                  <c:v>7000.1319999999996</c:v>
                </c:pt>
                <c:pt idx="2">
                  <c:v>11759</c:v>
                </c:pt>
                <c:pt idx="3">
                  <c:v>21461</c:v>
                </c:pt>
                <c:pt idx="4">
                  <c:v>24578</c:v>
                </c:pt>
                <c:pt idx="5">
                  <c:v>31536</c:v>
                </c:pt>
                <c:pt idx="6">
                  <c:v>53823</c:v>
                </c:pt>
                <c:pt idx="7">
                  <c:v>81462</c:v>
                </c:pt>
                <c:pt idx="8">
                  <c:v>96773</c:v>
                </c:pt>
                <c:pt idx="9">
                  <c:v>97690</c:v>
                </c:pt>
                <c:pt idx="10">
                  <c:v>107459.00000000001</c:v>
                </c:pt>
                <c:pt idx="11">
                  <c:v>134323.75000000003</c:v>
                </c:pt>
                <c:pt idx="12">
                  <c:v>161188.50000000003</c:v>
                </c:pt>
                <c:pt idx="13">
                  <c:v>185366.77500000002</c:v>
                </c:pt>
                <c:pt idx="14">
                  <c:v>208537.62187500001</c:v>
                </c:pt>
              </c:numCache>
            </c:numRef>
          </c:val>
          <c:smooth val="0"/>
          <c:extLst>
            <c:ext xmlns:c16="http://schemas.microsoft.com/office/drawing/2014/chart" uri="{C3380CC4-5D6E-409C-BE32-E72D297353CC}">
              <c16:uniqueId val="{00000000-BADF-D945-8A6E-DCF760BE26D0}"/>
            </c:ext>
          </c:extLst>
        </c:ser>
        <c:dLbls>
          <c:showLegendKey val="0"/>
          <c:showVal val="0"/>
          <c:showCatName val="0"/>
          <c:showSerName val="0"/>
          <c:showPercent val="0"/>
          <c:showBubbleSize val="0"/>
        </c:dLbls>
        <c:smooth val="0"/>
        <c:axId val="466172527"/>
        <c:axId val="763044831"/>
      </c:lineChart>
      <c:catAx>
        <c:axId val="46617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44831"/>
        <c:crosses val="autoZero"/>
        <c:auto val="1"/>
        <c:lblAlgn val="ctr"/>
        <c:lblOffset val="100"/>
        <c:noMultiLvlLbl val="0"/>
      </c:catAx>
      <c:valAx>
        <c:axId val="76304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7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PROJECTED Tesla Revenue (in millions of USD) - NEUTRAL 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'Plan - Sales'!$AB$7</c:f>
              <c:strCache>
                <c:ptCount val="1"/>
                <c:pt idx="0">
                  <c:v>Revenue(in mil USD)</c:v>
                </c:pt>
              </c:strCache>
            </c:strRef>
          </c:tx>
          <c:spPr>
            <a:ln w="28575" cap="rnd">
              <a:solidFill>
                <a:schemeClr val="accent1"/>
              </a:solidFill>
              <a:round/>
            </a:ln>
            <a:effectLst/>
          </c:spPr>
          <c:marker>
            <c:symbol val="none"/>
          </c:marker>
          <c:cat>
            <c:strRef>
              <c:f>'Plan - Sales'!$AC$6:$AQ$6</c:f>
              <c:strCache>
                <c:ptCount val="15"/>
                <c:pt idx="0">
                  <c:v>2015</c:v>
                </c:pt>
                <c:pt idx="1">
                  <c:v>2016</c:v>
                </c:pt>
                <c:pt idx="2">
                  <c:v>2017</c:v>
                </c:pt>
                <c:pt idx="3">
                  <c:v>2018</c:v>
                </c:pt>
                <c:pt idx="4">
                  <c:v>2019</c:v>
                </c:pt>
                <c:pt idx="5">
                  <c:v>2020</c:v>
                </c:pt>
                <c:pt idx="6">
                  <c:v>2021</c:v>
                </c:pt>
                <c:pt idx="7">
                  <c:v>2022</c:v>
                </c:pt>
                <c:pt idx="8">
                  <c:v>2023</c:v>
                </c:pt>
                <c:pt idx="9">
                  <c:v>2024</c:v>
                </c:pt>
                <c:pt idx="10">
                  <c:v>2025E</c:v>
                </c:pt>
                <c:pt idx="11">
                  <c:v>2026E</c:v>
                </c:pt>
                <c:pt idx="12">
                  <c:v>2027E</c:v>
                </c:pt>
                <c:pt idx="13">
                  <c:v>2028E</c:v>
                </c:pt>
                <c:pt idx="14">
                  <c:v>2029E</c:v>
                </c:pt>
              </c:strCache>
            </c:strRef>
          </c:cat>
          <c:val>
            <c:numRef>
              <c:f>'Plan - Sales'!$AC$7:$AQ$7</c:f>
              <c:numCache>
                <c:formatCode>#,##0</c:formatCode>
                <c:ptCount val="15"/>
                <c:pt idx="0">
                  <c:v>4046.0250000000001</c:v>
                </c:pt>
                <c:pt idx="1">
                  <c:v>7000.1319999999996</c:v>
                </c:pt>
                <c:pt idx="2">
                  <c:v>11759</c:v>
                </c:pt>
                <c:pt idx="3">
                  <c:v>21461</c:v>
                </c:pt>
                <c:pt idx="4">
                  <c:v>24578</c:v>
                </c:pt>
                <c:pt idx="5">
                  <c:v>31536</c:v>
                </c:pt>
                <c:pt idx="6">
                  <c:v>53823</c:v>
                </c:pt>
                <c:pt idx="7">
                  <c:v>81462</c:v>
                </c:pt>
                <c:pt idx="8">
                  <c:v>96773</c:v>
                </c:pt>
                <c:pt idx="9">
                  <c:v>97690</c:v>
                </c:pt>
                <c:pt idx="10">
                  <c:v>98615.689293501273</c:v>
                </c:pt>
                <c:pt idx="11">
                  <c:v>96150.297061163743</c:v>
                </c:pt>
                <c:pt idx="12">
                  <c:v>100957.81191422194</c:v>
                </c:pt>
                <c:pt idx="13">
                  <c:v>109034.43686735971</c:v>
                </c:pt>
                <c:pt idx="14">
                  <c:v>115576.5030794013</c:v>
                </c:pt>
              </c:numCache>
            </c:numRef>
          </c:val>
          <c:smooth val="0"/>
          <c:extLst>
            <c:ext xmlns:c16="http://schemas.microsoft.com/office/drawing/2014/chart" uri="{C3380CC4-5D6E-409C-BE32-E72D297353CC}">
              <c16:uniqueId val="{00000000-D1B1-8F45-8EA9-F5BF7067C35A}"/>
            </c:ext>
          </c:extLst>
        </c:ser>
        <c:dLbls>
          <c:showLegendKey val="0"/>
          <c:showVal val="0"/>
          <c:showCatName val="0"/>
          <c:showSerName val="0"/>
          <c:showPercent val="0"/>
          <c:showBubbleSize val="0"/>
        </c:dLbls>
        <c:smooth val="0"/>
        <c:axId val="446836975"/>
        <c:axId val="446828479"/>
      </c:lineChart>
      <c:catAx>
        <c:axId val="4468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28479"/>
        <c:crosses val="autoZero"/>
        <c:auto val="1"/>
        <c:lblAlgn val="ctr"/>
        <c:lblOffset val="100"/>
        <c:noMultiLvlLbl val="0"/>
      </c:catAx>
      <c:valAx>
        <c:axId val="446828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36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TESLA - LIFECYCLE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'Plan - Sales'!$AB$25</c:f>
              <c:strCache>
                <c:ptCount val="1"/>
                <c:pt idx="0">
                  <c:v>Revenue</c:v>
                </c:pt>
              </c:strCache>
            </c:strRef>
          </c:tx>
          <c:spPr>
            <a:ln w="28575" cap="rnd">
              <a:solidFill>
                <a:schemeClr val="accent1"/>
              </a:solidFill>
              <a:round/>
            </a:ln>
            <a:effectLst/>
          </c:spPr>
          <c:marker>
            <c:symbol val="none"/>
          </c:marker>
          <c:cat>
            <c:strRef>
              <c:f>'Plan - Sales'!$AC$24:$AQ$24</c:f>
              <c:strCache>
                <c:ptCount val="15"/>
                <c:pt idx="0">
                  <c:v>2015</c:v>
                </c:pt>
                <c:pt idx="1">
                  <c:v>2016</c:v>
                </c:pt>
                <c:pt idx="2">
                  <c:v>2017</c:v>
                </c:pt>
                <c:pt idx="3">
                  <c:v>2018</c:v>
                </c:pt>
                <c:pt idx="4">
                  <c:v>2019</c:v>
                </c:pt>
                <c:pt idx="5">
                  <c:v>2020</c:v>
                </c:pt>
                <c:pt idx="6">
                  <c:v>2021</c:v>
                </c:pt>
                <c:pt idx="7">
                  <c:v>2022</c:v>
                </c:pt>
                <c:pt idx="8">
                  <c:v>2023</c:v>
                </c:pt>
                <c:pt idx="9">
                  <c:v>2024</c:v>
                </c:pt>
                <c:pt idx="10">
                  <c:v>2025E</c:v>
                </c:pt>
                <c:pt idx="11">
                  <c:v>2026E</c:v>
                </c:pt>
                <c:pt idx="12">
                  <c:v>2027E</c:v>
                </c:pt>
                <c:pt idx="13">
                  <c:v>2028E</c:v>
                </c:pt>
                <c:pt idx="14">
                  <c:v>2029E</c:v>
                </c:pt>
              </c:strCache>
            </c:strRef>
          </c:cat>
          <c:val>
            <c:numRef>
              <c:f>'Plan - Sales'!$AC$25:$AQ$25</c:f>
              <c:numCache>
                <c:formatCode>#,##0</c:formatCode>
                <c:ptCount val="15"/>
                <c:pt idx="0">
                  <c:v>4046.0250000000001</c:v>
                </c:pt>
                <c:pt idx="1">
                  <c:v>7000.1319999999996</c:v>
                </c:pt>
                <c:pt idx="2">
                  <c:v>11759</c:v>
                </c:pt>
                <c:pt idx="3">
                  <c:v>21461</c:v>
                </c:pt>
                <c:pt idx="4">
                  <c:v>24578</c:v>
                </c:pt>
                <c:pt idx="5">
                  <c:v>31536</c:v>
                </c:pt>
                <c:pt idx="6">
                  <c:v>53823</c:v>
                </c:pt>
                <c:pt idx="7">
                  <c:v>81462</c:v>
                </c:pt>
                <c:pt idx="8">
                  <c:v>96773</c:v>
                </c:pt>
                <c:pt idx="9">
                  <c:v>97690</c:v>
                </c:pt>
                <c:pt idx="10">
                  <c:v>98615.689293501273</c:v>
                </c:pt>
                <c:pt idx="11">
                  <c:v>96150.297061163743</c:v>
                </c:pt>
                <c:pt idx="12">
                  <c:v>100957.81191422194</c:v>
                </c:pt>
                <c:pt idx="13">
                  <c:v>109034.43686735971</c:v>
                </c:pt>
                <c:pt idx="14">
                  <c:v>115576.5030794013</c:v>
                </c:pt>
              </c:numCache>
            </c:numRef>
          </c:val>
          <c:smooth val="0"/>
          <c:extLst>
            <c:ext xmlns:c16="http://schemas.microsoft.com/office/drawing/2014/chart" uri="{C3380CC4-5D6E-409C-BE32-E72D297353CC}">
              <c16:uniqueId val="{00000000-9663-8D40-9C82-0D89EFF0543B}"/>
            </c:ext>
          </c:extLst>
        </c:ser>
        <c:ser>
          <c:idx val="1"/>
          <c:order val="1"/>
          <c:tx>
            <c:strRef>
              <c:f>'Plan - Sales'!$AB$26</c:f>
              <c:strCache>
                <c:ptCount val="1"/>
                <c:pt idx="0">
                  <c:v>EBIT</c:v>
                </c:pt>
              </c:strCache>
            </c:strRef>
          </c:tx>
          <c:spPr>
            <a:ln w="28575" cap="rnd">
              <a:solidFill>
                <a:schemeClr val="accent2"/>
              </a:solidFill>
              <a:round/>
            </a:ln>
            <a:effectLst/>
          </c:spPr>
          <c:marker>
            <c:symbol val="none"/>
          </c:marker>
          <c:cat>
            <c:strRef>
              <c:f>'Plan - Sales'!$AC$24:$AQ$24</c:f>
              <c:strCache>
                <c:ptCount val="15"/>
                <c:pt idx="0">
                  <c:v>2015</c:v>
                </c:pt>
                <c:pt idx="1">
                  <c:v>2016</c:v>
                </c:pt>
                <c:pt idx="2">
                  <c:v>2017</c:v>
                </c:pt>
                <c:pt idx="3">
                  <c:v>2018</c:v>
                </c:pt>
                <c:pt idx="4">
                  <c:v>2019</c:v>
                </c:pt>
                <c:pt idx="5">
                  <c:v>2020</c:v>
                </c:pt>
                <c:pt idx="6">
                  <c:v>2021</c:v>
                </c:pt>
                <c:pt idx="7">
                  <c:v>2022</c:v>
                </c:pt>
                <c:pt idx="8">
                  <c:v>2023</c:v>
                </c:pt>
                <c:pt idx="9">
                  <c:v>2024</c:v>
                </c:pt>
                <c:pt idx="10">
                  <c:v>2025E</c:v>
                </c:pt>
                <c:pt idx="11">
                  <c:v>2026E</c:v>
                </c:pt>
                <c:pt idx="12">
                  <c:v>2027E</c:v>
                </c:pt>
                <c:pt idx="13">
                  <c:v>2028E</c:v>
                </c:pt>
                <c:pt idx="14">
                  <c:v>2029E</c:v>
                </c:pt>
              </c:strCache>
            </c:strRef>
          </c:cat>
          <c:val>
            <c:numRef>
              <c:f>'Plan - Sales'!$AC$26:$AQ$26</c:f>
              <c:numCache>
                <c:formatCode>#,##0</c:formatCode>
                <c:ptCount val="15"/>
                <c:pt idx="1">
                  <c:v>-667.34</c:v>
                </c:pt>
                <c:pt idx="2">
                  <c:v>-1632</c:v>
                </c:pt>
                <c:pt idx="3">
                  <c:v>-388</c:v>
                </c:pt>
                <c:pt idx="4">
                  <c:v>-69</c:v>
                </c:pt>
                <c:pt idx="5">
                  <c:v>1994</c:v>
                </c:pt>
                <c:pt idx="6">
                  <c:v>5558.4876299327352</c:v>
                </c:pt>
                <c:pt idx="7">
                  <c:v>8412.8628896490445</c:v>
                </c:pt>
                <c:pt idx="8">
                  <c:v>9994.082890427524</c:v>
                </c:pt>
                <c:pt idx="9">
                  <c:v>10088.7846565247</c:v>
                </c:pt>
                <c:pt idx="10">
                  <c:v>10184.383796057762</c:v>
                </c:pt>
                <c:pt idx="11">
                  <c:v>9929.7742011563187</c:v>
                </c:pt>
                <c:pt idx="12">
                  <c:v>10426.262911214135</c:v>
                </c:pt>
                <c:pt idx="13">
                  <c:v>11260.363944111266</c:v>
                </c:pt>
                <c:pt idx="14">
                  <c:v>11935.985780757945</c:v>
                </c:pt>
              </c:numCache>
            </c:numRef>
          </c:val>
          <c:smooth val="0"/>
          <c:extLst>
            <c:ext xmlns:c16="http://schemas.microsoft.com/office/drawing/2014/chart" uri="{C3380CC4-5D6E-409C-BE32-E72D297353CC}">
              <c16:uniqueId val="{00000001-9663-8D40-9C82-0D89EFF0543B}"/>
            </c:ext>
          </c:extLst>
        </c:ser>
        <c:ser>
          <c:idx val="2"/>
          <c:order val="2"/>
          <c:tx>
            <c:strRef>
              <c:f>'Plan - Sales'!$AB$27</c:f>
              <c:strCache>
                <c:ptCount val="1"/>
                <c:pt idx="0">
                  <c:v>EAT</c:v>
                </c:pt>
              </c:strCache>
            </c:strRef>
          </c:tx>
          <c:spPr>
            <a:ln w="28575" cap="rnd">
              <a:solidFill>
                <a:schemeClr val="accent3"/>
              </a:solidFill>
              <a:round/>
            </a:ln>
            <a:effectLst/>
          </c:spPr>
          <c:marker>
            <c:symbol val="none"/>
          </c:marker>
          <c:cat>
            <c:strRef>
              <c:f>'Plan - Sales'!$AC$24:$AQ$24</c:f>
              <c:strCache>
                <c:ptCount val="15"/>
                <c:pt idx="0">
                  <c:v>2015</c:v>
                </c:pt>
                <c:pt idx="1">
                  <c:v>2016</c:v>
                </c:pt>
                <c:pt idx="2">
                  <c:v>2017</c:v>
                </c:pt>
                <c:pt idx="3">
                  <c:v>2018</c:v>
                </c:pt>
                <c:pt idx="4">
                  <c:v>2019</c:v>
                </c:pt>
                <c:pt idx="5">
                  <c:v>2020</c:v>
                </c:pt>
                <c:pt idx="6">
                  <c:v>2021</c:v>
                </c:pt>
                <c:pt idx="7">
                  <c:v>2022</c:v>
                </c:pt>
                <c:pt idx="8">
                  <c:v>2023</c:v>
                </c:pt>
                <c:pt idx="9">
                  <c:v>2024</c:v>
                </c:pt>
                <c:pt idx="10">
                  <c:v>2025E</c:v>
                </c:pt>
                <c:pt idx="11">
                  <c:v>2026E</c:v>
                </c:pt>
                <c:pt idx="12">
                  <c:v>2027E</c:v>
                </c:pt>
                <c:pt idx="13">
                  <c:v>2028E</c:v>
                </c:pt>
                <c:pt idx="14">
                  <c:v>2029E</c:v>
                </c:pt>
              </c:strCache>
            </c:strRef>
          </c:cat>
          <c:val>
            <c:numRef>
              <c:f>'Plan - Sales'!$AC$27:$AQ$27</c:f>
              <c:numCache>
                <c:formatCode>#,##0</c:formatCode>
                <c:ptCount val="15"/>
                <c:pt idx="1">
                  <c:v>-673</c:v>
                </c:pt>
                <c:pt idx="2">
                  <c:v>-1962</c:v>
                </c:pt>
                <c:pt idx="3">
                  <c:v>-976</c:v>
                </c:pt>
                <c:pt idx="4">
                  <c:v>-862</c:v>
                </c:pt>
                <c:pt idx="5">
                  <c:v>862</c:v>
                </c:pt>
                <c:pt idx="6">
                  <c:v>5644</c:v>
                </c:pt>
                <c:pt idx="7">
                  <c:v>12587</c:v>
                </c:pt>
                <c:pt idx="8">
                  <c:v>14974</c:v>
                </c:pt>
                <c:pt idx="9">
                  <c:v>7153</c:v>
                </c:pt>
                <c:pt idx="10">
                  <c:v>10150.798721054662</c:v>
                </c:pt>
                <c:pt idx="11">
                  <c:v>9897.0287530282967</c:v>
                </c:pt>
                <c:pt idx="12">
                  <c:v>10391.880190679713</c:v>
                </c:pt>
                <c:pt idx="13">
                  <c:v>11223.23060593409</c:v>
                </c:pt>
                <c:pt idx="14">
                  <c:v>11896.624442290136</c:v>
                </c:pt>
              </c:numCache>
            </c:numRef>
          </c:val>
          <c:smooth val="0"/>
          <c:extLst>
            <c:ext xmlns:c16="http://schemas.microsoft.com/office/drawing/2014/chart" uri="{C3380CC4-5D6E-409C-BE32-E72D297353CC}">
              <c16:uniqueId val="{00000002-9663-8D40-9C82-0D89EFF0543B}"/>
            </c:ext>
          </c:extLst>
        </c:ser>
        <c:dLbls>
          <c:showLegendKey val="0"/>
          <c:showVal val="0"/>
          <c:showCatName val="0"/>
          <c:showSerName val="0"/>
          <c:showPercent val="0"/>
          <c:showBubbleSize val="0"/>
        </c:dLbls>
        <c:smooth val="0"/>
        <c:axId val="477961136"/>
        <c:axId val="681637328"/>
      </c:lineChart>
      <c:catAx>
        <c:axId val="4779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37328"/>
        <c:crosses val="autoZero"/>
        <c:auto val="1"/>
        <c:lblAlgn val="ctr"/>
        <c:lblOffset val="100"/>
        <c:noMultiLvlLbl val="0"/>
      </c:catAx>
      <c:valAx>
        <c:axId val="681637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61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Tesla Financing Structure</a:t>
            </a:r>
            <a:r>
              <a:rPr lang="en-IN" sz="1400" b="0" i="0" u="none" strike="noStrike" baseline="0"/>
              <a:t> (% of Total Assets, 2020-2024)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'CS Vertical BS'!$H$2</c:f>
              <c:strCache>
                <c:ptCount val="1"/>
                <c:pt idx="0">
                  <c:v>Total Assets</c:v>
                </c:pt>
              </c:strCache>
            </c:strRef>
          </c:tx>
          <c:spPr>
            <a:ln w="28575" cap="rnd">
              <a:solidFill>
                <a:schemeClr val="accent1"/>
              </a:solidFill>
              <a:round/>
            </a:ln>
            <a:effectLst/>
          </c:spPr>
          <c:marker>
            <c:symbol val="none"/>
          </c:marker>
          <c:cat>
            <c:numRef>
              <c:f>'CS Vertical BS'!$I$1:$M$1</c:f>
              <c:numCache>
                <c:formatCode>General</c:formatCode>
                <c:ptCount val="5"/>
                <c:pt idx="0">
                  <c:v>2020</c:v>
                </c:pt>
                <c:pt idx="1">
                  <c:v>2021</c:v>
                </c:pt>
                <c:pt idx="2">
                  <c:v>2022</c:v>
                </c:pt>
                <c:pt idx="3">
                  <c:v>2023</c:v>
                </c:pt>
                <c:pt idx="4">
                  <c:v>2024</c:v>
                </c:pt>
              </c:numCache>
            </c:numRef>
          </c:cat>
          <c:val>
            <c:numRef>
              <c:f>'CS Vertical BS'!$I$2:$M$2</c:f>
              <c:numCache>
                <c:formatCode>0.00%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0-9FEF-B04A-A2B6-101ECBFA1A4E}"/>
            </c:ext>
          </c:extLst>
        </c:ser>
        <c:ser>
          <c:idx val="1"/>
          <c:order val="1"/>
          <c:tx>
            <c:strRef>
              <c:f>'CS Vertical BS'!$H$3</c:f>
              <c:strCache>
                <c:ptCount val="1"/>
                <c:pt idx="0">
                  <c:v>Total Equity</c:v>
                </c:pt>
              </c:strCache>
            </c:strRef>
          </c:tx>
          <c:spPr>
            <a:ln w="28575" cap="rnd">
              <a:solidFill>
                <a:schemeClr val="accent2"/>
              </a:solidFill>
              <a:round/>
            </a:ln>
            <a:effectLst/>
          </c:spPr>
          <c:marker>
            <c:symbol val="none"/>
          </c:marker>
          <c:cat>
            <c:numRef>
              <c:f>'CS Vertical BS'!$I$1:$M$1</c:f>
              <c:numCache>
                <c:formatCode>General</c:formatCode>
                <c:ptCount val="5"/>
                <c:pt idx="0">
                  <c:v>2020</c:v>
                </c:pt>
                <c:pt idx="1">
                  <c:v>2021</c:v>
                </c:pt>
                <c:pt idx="2">
                  <c:v>2022</c:v>
                </c:pt>
                <c:pt idx="3">
                  <c:v>2023</c:v>
                </c:pt>
                <c:pt idx="4">
                  <c:v>2024</c:v>
                </c:pt>
              </c:numCache>
            </c:numRef>
          </c:cat>
          <c:val>
            <c:numRef>
              <c:f>'CS Vertical BS'!$I$3:$M$3</c:f>
              <c:numCache>
                <c:formatCode>0.00%</c:formatCode>
                <c:ptCount val="5"/>
                <c:pt idx="0">
                  <c:v>0.45407302293472424</c:v>
                </c:pt>
                <c:pt idx="1">
                  <c:v>0.50832917545186784</c:v>
                </c:pt>
                <c:pt idx="2">
                  <c:v>0.55743399159561802</c:v>
                </c:pt>
                <c:pt idx="3">
                  <c:v>0.59660657675064244</c:v>
                </c:pt>
                <c:pt idx="4">
                  <c:v>0.60358810518554928</c:v>
                </c:pt>
              </c:numCache>
            </c:numRef>
          </c:val>
          <c:smooth val="0"/>
          <c:extLst>
            <c:ext xmlns:c16="http://schemas.microsoft.com/office/drawing/2014/chart" uri="{C3380CC4-5D6E-409C-BE32-E72D297353CC}">
              <c16:uniqueId val="{00000001-9FEF-B04A-A2B6-101ECBFA1A4E}"/>
            </c:ext>
          </c:extLst>
        </c:ser>
        <c:ser>
          <c:idx val="2"/>
          <c:order val="2"/>
          <c:tx>
            <c:strRef>
              <c:f>'CS Vertical BS'!$H$4</c:f>
              <c:strCache>
                <c:ptCount val="1"/>
                <c:pt idx="0">
                  <c:v>Total Liabilities</c:v>
                </c:pt>
              </c:strCache>
            </c:strRef>
          </c:tx>
          <c:spPr>
            <a:ln w="28575" cap="rnd">
              <a:solidFill>
                <a:schemeClr val="accent3"/>
              </a:solidFill>
              <a:round/>
            </a:ln>
            <a:effectLst/>
          </c:spPr>
          <c:marker>
            <c:symbol val="none"/>
          </c:marker>
          <c:cat>
            <c:numRef>
              <c:f>'CS Vertical BS'!$I$1:$M$1</c:f>
              <c:numCache>
                <c:formatCode>General</c:formatCode>
                <c:ptCount val="5"/>
                <c:pt idx="0">
                  <c:v>2020</c:v>
                </c:pt>
                <c:pt idx="1">
                  <c:v>2021</c:v>
                </c:pt>
                <c:pt idx="2">
                  <c:v>2022</c:v>
                </c:pt>
                <c:pt idx="3">
                  <c:v>2023</c:v>
                </c:pt>
                <c:pt idx="4">
                  <c:v>2024</c:v>
                </c:pt>
              </c:numCache>
            </c:numRef>
          </c:cat>
          <c:val>
            <c:numRef>
              <c:f>'CS Vertical BS'!$I$4:$M$4</c:f>
              <c:numCache>
                <c:formatCode>0.00%</c:formatCode>
                <c:ptCount val="5"/>
                <c:pt idx="0">
                  <c:v>0.54592697706527571</c:v>
                </c:pt>
                <c:pt idx="1">
                  <c:v>0.49167082454813216</c:v>
                </c:pt>
                <c:pt idx="2">
                  <c:v>0.44256600840438193</c:v>
                </c:pt>
                <c:pt idx="3">
                  <c:v>0.40339342324935751</c:v>
                </c:pt>
                <c:pt idx="4">
                  <c:v>0.39641189481445072</c:v>
                </c:pt>
              </c:numCache>
            </c:numRef>
          </c:val>
          <c:smooth val="0"/>
          <c:extLst>
            <c:ext xmlns:c16="http://schemas.microsoft.com/office/drawing/2014/chart" uri="{C3380CC4-5D6E-409C-BE32-E72D297353CC}">
              <c16:uniqueId val="{00000002-9FEF-B04A-A2B6-101ECBFA1A4E}"/>
            </c:ext>
          </c:extLst>
        </c:ser>
        <c:dLbls>
          <c:showLegendKey val="0"/>
          <c:showVal val="0"/>
          <c:showCatName val="0"/>
          <c:showSerName val="0"/>
          <c:showPercent val="0"/>
          <c:showBubbleSize val="0"/>
        </c:dLbls>
        <c:smooth val="0"/>
        <c:axId val="1950257039"/>
        <c:axId val="164543872"/>
      </c:lineChart>
      <c:catAx>
        <c:axId val="195025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3872"/>
        <c:crosses val="autoZero"/>
        <c:auto val="1"/>
        <c:lblAlgn val="ctr"/>
        <c:lblOffset val="100"/>
        <c:noMultiLvlLbl val="0"/>
      </c:catAx>
      <c:valAx>
        <c:axId val="164543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257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Cash, Cash Equivalents and Investments % </a:t>
            </a:r>
            <a:r>
              <a:rPr lang="en-IN" sz="1400" b="0" i="0" u="none" strike="noStrike" baseline="0"/>
              <a:t>over the years </a:t>
            </a:r>
          </a:p>
          <a:p>
            <a:pPr>
              <a:defRPr/>
            </a:pPr>
            <a:r>
              <a:rPr lang="en-IN" sz="1400" b="0" i="0" u="none" strike="noStrike" baseline="0"/>
              <a:t>(2020-2024)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'CS Vertical BS'!$H$8</c:f>
              <c:strCache>
                <c:ptCount val="1"/>
                <c:pt idx="0">
                  <c:v>Cash, Cash Equivalents and Investments</c:v>
                </c:pt>
              </c:strCache>
            </c:strRef>
          </c:tx>
          <c:spPr>
            <a:ln w="28575" cap="rnd">
              <a:solidFill>
                <a:schemeClr val="accent1"/>
              </a:solidFill>
              <a:round/>
            </a:ln>
            <a:effectLst/>
          </c:spPr>
          <c:marker>
            <c:symbol val="none"/>
          </c:marker>
          <c:cat>
            <c:numRef>
              <c:f>'CS Vertical BS'!$I$7:$M$7</c:f>
              <c:numCache>
                <c:formatCode>General</c:formatCode>
                <c:ptCount val="5"/>
                <c:pt idx="0">
                  <c:v>2020</c:v>
                </c:pt>
                <c:pt idx="1">
                  <c:v>2021</c:v>
                </c:pt>
                <c:pt idx="2">
                  <c:v>2022</c:v>
                </c:pt>
                <c:pt idx="3">
                  <c:v>2023</c:v>
                </c:pt>
                <c:pt idx="4">
                  <c:v>2024</c:v>
                </c:pt>
              </c:numCache>
            </c:numRef>
          </c:cat>
          <c:val>
            <c:numRef>
              <c:f>'CS Vertical BS'!$I$8:$M$8</c:f>
              <c:numCache>
                <c:formatCode>0.00%</c:formatCode>
                <c:ptCount val="5"/>
                <c:pt idx="0">
                  <c:v>0.37171128327069108</c:v>
                </c:pt>
                <c:pt idx="1">
                  <c:v>0.2849946081666157</c:v>
                </c:pt>
                <c:pt idx="2">
                  <c:v>0.26943816949646576</c:v>
                </c:pt>
                <c:pt idx="3">
                  <c:v>0.2728807518430284</c:v>
                </c:pt>
                <c:pt idx="4">
                  <c:v>0.2995248627836487</c:v>
                </c:pt>
              </c:numCache>
            </c:numRef>
          </c:val>
          <c:smooth val="0"/>
          <c:extLst>
            <c:ext xmlns:c16="http://schemas.microsoft.com/office/drawing/2014/chart" uri="{C3380CC4-5D6E-409C-BE32-E72D297353CC}">
              <c16:uniqueId val="{00000000-A5A1-A743-8A01-C68DB536D80D}"/>
            </c:ext>
          </c:extLst>
        </c:ser>
        <c:dLbls>
          <c:showLegendKey val="0"/>
          <c:showVal val="0"/>
          <c:showCatName val="0"/>
          <c:showSerName val="0"/>
          <c:showPercent val="0"/>
          <c:showBubbleSize val="0"/>
        </c:dLbls>
        <c:smooth val="0"/>
        <c:axId val="748426943"/>
        <c:axId val="673861664"/>
      </c:lineChart>
      <c:catAx>
        <c:axId val="74842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61664"/>
        <c:crosses val="autoZero"/>
        <c:auto val="1"/>
        <c:lblAlgn val="ctr"/>
        <c:lblOffset val="100"/>
        <c:noMultiLvlLbl val="0"/>
      </c:catAx>
      <c:valAx>
        <c:axId val="673861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42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Inventory % and PP&amp;E % of Total Assets </a:t>
            </a:r>
            <a:r>
              <a:rPr lang="en-IN" sz="1400" b="0" i="0" u="none" strike="noStrike" baseline="0"/>
              <a:t>(2020-2024)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'CS Vertical BS'!$H$12</c:f>
              <c:strCache>
                <c:ptCount val="1"/>
                <c:pt idx="0">
                  <c:v>Inventory</c:v>
                </c:pt>
              </c:strCache>
            </c:strRef>
          </c:tx>
          <c:spPr>
            <a:ln w="28575" cap="rnd">
              <a:solidFill>
                <a:schemeClr val="accent1"/>
              </a:solidFill>
              <a:round/>
            </a:ln>
            <a:effectLst/>
          </c:spPr>
          <c:marker>
            <c:symbol val="none"/>
          </c:marker>
          <c:cat>
            <c:numRef>
              <c:f>'CS Vertical BS'!$I$11:$M$11</c:f>
              <c:numCache>
                <c:formatCode>General</c:formatCode>
                <c:ptCount val="5"/>
                <c:pt idx="0">
                  <c:v>2020</c:v>
                </c:pt>
                <c:pt idx="1">
                  <c:v>2021</c:v>
                </c:pt>
                <c:pt idx="2">
                  <c:v>2022</c:v>
                </c:pt>
                <c:pt idx="3">
                  <c:v>2023</c:v>
                </c:pt>
                <c:pt idx="4">
                  <c:v>2024</c:v>
                </c:pt>
              </c:numCache>
            </c:numRef>
          </c:cat>
          <c:val>
            <c:numRef>
              <c:f>'CS Vertical BS'!$I$12:$M$12</c:f>
              <c:numCache>
                <c:formatCode>0.00%</c:formatCode>
                <c:ptCount val="5"/>
                <c:pt idx="0">
                  <c:v>7.8641558640791587E-2</c:v>
                </c:pt>
                <c:pt idx="1">
                  <c:v>9.2659059084836876E-2</c:v>
                </c:pt>
                <c:pt idx="2">
                  <c:v>0.15593043309286114</c:v>
                </c:pt>
                <c:pt idx="3">
                  <c:v>0.12780205968973343</c:v>
                </c:pt>
                <c:pt idx="4">
                  <c:v>9.8443516015400995E-2</c:v>
                </c:pt>
              </c:numCache>
            </c:numRef>
          </c:val>
          <c:smooth val="0"/>
          <c:extLst>
            <c:ext xmlns:c16="http://schemas.microsoft.com/office/drawing/2014/chart" uri="{C3380CC4-5D6E-409C-BE32-E72D297353CC}">
              <c16:uniqueId val="{00000000-3C00-C541-9F1A-8CB33553FE50}"/>
            </c:ext>
          </c:extLst>
        </c:ser>
        <c:ser>
          <c:idx val="1"/>
          <c:order val="1"/>
          <c:tx>
            <c:strRef>
              <c:f>'CS Vertical BS'!$H$13</c:f>
              <c:strCache>
                <c:ptCount val="1"/>
                <c:pt idx="0">
                  <c:v>Property, Plant and Equipment, Net</c:v>
                </c:pt>
              </c:strCache>
            </c:strRef>
          </c:tx>
          <c:spPr>
            <a:ln w="28575" cap="rnd">
              <a:solidFill>
                <a:schemeClr val="accent2"/>
              </a:solidFill>
              <a:round/>
            </a:ln>
            <a:effectLst/>
          </c:spPr>
          <c:marker>
            <c:symbol val="none"/>
          </c:marker>
          <c:cat>
            <c:numRef>
              <c:f>'CS Vertical BS'!$I$11:$M$11</c:f>
              <c:numCache>
                <c:formatCode>General</c:formatCode>
                <c:ptCount val="5"/>
                <c:pt idx="0">
                  <c:v>2020</c:v>
                </c:pt>
                <c:pt idx="1">
                  <c:v>2021</c:v>
                </c:pt>
                <c:pt idx="2">
                  <c:v>2022</c:v>
                </c:pt>
                <c:pt idx="3">
                  <c:v>2023</c:v>
                </c:pt>
                <c:pt idx="4">
                  <c:v>2024</c:v>
                </c:pt>
              </c:numCache>
            </c:numRef>
          </c:cat>
          <c:val>
            <c:numRef>
              <c:f>'CS Vertical BS'!$I$13:$M$13</c:f>
              <c:numCache>
                <c:formatCode>0.00%</c:formatCode>
                <c:ptCount val="5"/>
                <c:pt idx="0">
                  <c:v>0.44830098949144742</c:v>
                </c:pt>
                <c:pt idx="1">
                  <c:v>0.50177850026556792</c:v>
                </c:pt>
                <c:pt idx="2">
                  <c:v>0.44493429522213318</c:v>
                </c:pt>
                <c:pt idx="3">
                  <c:v>0.42322121968147969</c:v>
                </c:pt>
                <c:pt idx="4">
                  <c:v>0.42194642418284589</c:v>
                </c:pt>
              </c:numCache>
            </c:numRef>
          </c:val>
          <c:smooth val="0"/>
          <c:extLst>
            <c:ext xmlns:c16="http://schemas.microsoft.com/office/drawing/2014/chart" uri="{C3380CC4-5D6E-409C-BE32-E72D297353CC}">
              <c16:uniqueId val="{00000001-3C00-C541-9F1A-8CB33553FE50}"/>
            </c:ext>
          </c:extLst>
        </c:ser>
        <c:dLbls>
          <c:showLegendKey val="0"/>
          <c:showVal val="0"/>
          <c:showCatName val="0"/>
          <c:showSerName val="0"/>
          <c:showPercent val="0"/>
          <c:showBubbleSize val="0"/>
        </c:dLbls>
        <c:smooth val="0"/>
        <c:axId val="781904895"/>
        <c:axId val="782042319"/>
      </c:lineChart>
      <c:catAx>
        <c:axId val="78190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42319"/>
        <c:crosses val="autoZero"/>
        <c:auto val="1"/>
        <c:lblAlgn val="ctr"/>
        <c:lblOffset val="100"/>
        <c:noMultiLvlLbl val="0"/>
      </c:catAx>
      <c:valAx>
        <c:axId val="782042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04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chart" Target="../charts/chart16.xml"/><Relationship Id="rId4" Type="http://schemas.openxmlformats.org/officeDocument/2006/relationships/chart" Target="../charts/chart14.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11</xdr:col>
      <xdr:colOff>332568</xdr:colOff>
      <xdr:row>16</xdr:row>
      <xdr:rowOff>45596</xdr:rowOff>
    </xdr:from>
    <xdr:to>
      <xdr:col>17</xdr:col>
      <xdr:colOff>179021</xdr:colOff>
      <xdr:row>38</xdr:row>
      <xdr:rowOff>20196</xdr:rowOff>
    </xdr:to>
    <xdr:graphicFrame macro="">
      <xdr:nvGraphicFramePr>
        <xdr:cNvPr id="8" name="Chart 7">
          <a:extLst>
            <a:ext uri="{FF2B5EF4-FFF2-40B4-BE49-F238E27FC236}">
              <a16:creationId xmlns:a16="http://schemas.microsoft.com/office/drawing/2014/main" id="{DE41B338-7500-6C5F-055A-9DE1FB4C1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332569</xdr:colOff>
      <xdr:row>41</xdr:row>
      <xdr:rowOff>99304</xdr:rowOff>
    </xdr:from>
    <xdr:to>
      <xdr:col>17</xdr:col>
      <xdr:colOff>166322</xdr:colOff>
      <xdr:row>61</xdr:row>
      <xdr:rowOff>4589</xdr:rowOff>
    </xdr:to>
    <xdr:graphicFrame macro="">
      <xdr:nvGraphicFramePr>
        <xdr:cNvPr id="9" name="Chart 8">
          <a:extLst>
            <a:ext uri="{FF2B5EF4-FFF2-40B4-BE49-F238E27FC236}">
              <a16:creationId xmlns:a16="http://schemas.microsoft.com/office/drawing/2014/main" id="{ABFF8579-FF9D-9BB1-28AC-4514BE88D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483515</xdr:colOff>
      <xdr:row>31</xdr:row>
      <xdr:rowOff>139340</xdr:rowOff>
    </xdr:from>
    <xdr:to>
      <xdr:col>26</xdr:col>
      <xdr:colOff>459035</xdr:colOff>
      <xdr:row>60</xdr:row>
      <xdr:rowOff>133834</xdr:rowOff>
    </xdr:to>
    <xdr:graphicFrame macro="">
      <xdr:nvGraphicFramePr>
        <xdr:cNvPr id="12" name="Chart 11">
          <a:extLst>
            <a:ext uri="{FF2B5EF4-FFF2-40B4-BE49-F238E27FC236}">
              <a16:creationId xmlns:a16="http://schemas.microsoft.com/office/drawing/2014/main" id="{96875399-0C05-3959-BEC1-2B9FCD82E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498817</xdr:colOff>
      <xdr:row>62</xdr:row>
      <xdr:rowOff>139341</xdr:rowOff>
    </xdr:from>
    <xdr:to>
      <xdr:col>26</xdr:col>
      <xdr:colOff>413131</xdr:colOff>
      <xdr:row>91</xdr:row>
      <xdr:rowOff>118532</xdr:rowOff>
    </xdr:to>
    <xdr:graphicFrame macro="">
      <xdr:nvGraphicFramePr>
        <xdr:cNvPr id="13" name="Chart 12">
          <a:extLst>
            <a:ext uri="{FF2B5EF4-FFF2-40B4-BE49-F238E27FC236}">
              <a16:creationId xmlns:a16="http://schemas.microsoft.com/office/drawing/2014/main" id="{05B371F4-A4AF-8CDF-538B-34B2F7823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465665</xdr:colOff>
      <xdr:row>1</xdr:row>
      <xdr:rowOff>135466</xdr:rowOff>
    </xdr:from>
    <xdr:to>
      <xdr:col>26</xdr:col>
      <xdr:colOff>457198</xdr:colOff>
      <xdr:row>30</xdr:row>
      <xdr:rowOff>143933</xdr:rowOff>
    </xdr:to>
    <xdr:graphicFrame macro="">
      <xdr:nvGraphicFramePr>
        <xdr:cNvPr id="15" name="Chart 14">
          <a:extLst>
            <a:ext uri="{FF2B5EF4-FFF2-40B4-BE49-F238E27FC236}">
              <a16:creationId xmlns:a16="http://schemas.microsoft.com/office/drawing/2014/main" id="{5E8F9D8D-84E5-46B2-7F34-2429E0D54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541866</xdr:colOff>
      <xdr:row>94</xdr:row>
      <xdr:rowOff>135465</xdr:rowOff>
    </xdr:from>
    <xdr:to>
      <xdr:col>26</xdr:col>
      <xdr:colOff>491065</xdr:colOff>
      <xdr:row>134</xdr:row>
      <xdr:rowOff>42506</xdr:rowOff>
    </xdr:to>
    <xdr:pic>
      <xdr:nvPicPr>
        <xdr:cNvPr id="16" name="Picture 15">
          <a:extLst>
            <a:ext uri="{FF2B5EF4-FFF2-40B4-BE49-F238E27FC236}">
              <a16:creationId xmlns:a16="http://schemas.microsoft.com/office/drawing/2014/main" id="{4CF3B788-01DC-95BF-C4DC-E4DDEDC1F818}"/>
            </a:ext>
          </a:extLst>
        </xdr:cNvPr>
        <xdr:cNvPicPr>
          <a:picLocks noChangeAspect="1"/>
        </xdr:cNvPicPr>
      </xdr:nvPicPr>
      <xdr:blipFill>
        <a:blip xmlns:r="http://schemas.openxmlformats.org/officeDocument/2006/relationships" r:embed="rId6"/>
        <a:stretch>
          <a:fillRect/>
        </a:stretch>
      </xdr:blipFill>
      <xdr:spPr>
        <a:xfrm>
          <a:off x="20878799" y="17644532"/>
          <a:ext cx="11192933" cy="7357707"/>
        </a:xfrm>
        <a:prstGeom prst="rect">
          <a:avLst/>
        </a:prstGeom>
      </xdr:spPr>
    </xdr:pic>
    <xdr:clientData/>
  </xdr:twoCellAnchor>
  <xdr:twoCellAnchor>
    <xdr:from>
      <xdr:col>30</xdr:col>
      <xdr:colOff>228599</xdr:colOff>
      <xdr:row>30</xdr:row>
      <xdr:rowOff>8466</xdr:rowOff>
    </xdr:from>
    <xdr:to>
      <xdr:col>38</xdr:col>
      <xdr:colOff>135467</xdr:colOff>
      <xdr:row>60</xdr:row>
      <xdr:rowOff>0</xdr:rowOff>
    </xdr:to>
    <xdr:graphicFrame macro="">
      <xdr:nvGraphicFramePr>
        <xdr:cNvPr id="2" name="Chart 1">
          <a:extLst>
            <a:ext uri="{FF2B5EF4-FFF2-40B4-BE49-F238E27FC236}">
              <a16:creationId xmlns:a16="http://schemas.microsoft.com/office/drawing/2014/main" id="{9A26CB80-CE12-870A-7936-0EEB05990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177800</xdr:colOff>
      <xdr:row>63</xdr:row>
      <xdr:rowOff>129694</xdr:rowOff>
    </xdr:from>
    <xdr:to>
      <xdr:col>38</xdr:col>
      <xdr:colOff>482600</xdr:colOff>
      <xdr:row>95</xdr:row>
      <xdr:rowOff>7796</xdr:rowOff>
    </xdr:to>
    <xdr:pic>
      <xdr:nvPicPr>
        <xdr:cNvPr id="3" name="Picture 2">
          <a:extLst>
            <a:ext uri="{FF2B5EF4-FFF2-40B4-BE49-F238E27FC236}">
              <a16:creationId xmlns:a16="http://schemas.microsoft.com/office/drawing/2014/main" id="{19435110-35D9-A14C-8725-5AC87544C4C5}"/>
            </a:ext>
          </a:extLst>
        </xdr:cNvPr>
        <xdr:cNvPicPr>
          <a:picLocks noChangeAspect="1"/>
        </xdr:cNvPicPr>
      </xdr:nvPicPr>
      <xdr:blipFill>
        <a:blip xmlns:r="http://schemas.openxmlformats.org/officeDocument/2006/relationships" r:embed="rId6"/>
        <a:stretch>
          <a:fillRect/>
        </a:stretch>
      </xdr:blipFill>
      <xdr:spPr>
        <a:xfrm>
          <a:off x="36804600" y="12931294"/>
          <a:ext cx="9550400" cy="63805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590322</xdr:colOff>
      <xdr:row>0</xdr:row>
      <xdr:rowOff>49401</xdr:rowOff>
    </xdr:from>
    <xdr:to>
      <xdr:col>21</xdr:col>
      <xdr:colOff>334819</xdr:colOff>
      <xdr:row>20</xdr:row>
      <xdr:rowOff>115455</xdr:rowOff>
    </xdr:to>
    <xdr:graphicFrame macro="">
      <xdr:nvGraphicFramePr>
        <xdr:cNvPr id="4" name="Chart 3">
          <a:extLst>
            <a:ext uri="{FF2B5EF4-FFF2-40B4-BE49-F238E27FC236}">
              <a16:creationId xmlns:a16="http://schemas.microsoft.com/office/drawing/2014/main" id="{F87E253D-7B2D-52E6-3820-D9A05ABE0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602899</xdr:colOff>
      <xdr:row>21</xdr:row>
      <xdr:rowOff>79828</xdr:rowOff>
    </xdr:from>
    <xdr:to>
      <xdr:col>21</xdr:col>
      <xdr:colOff>346363</xdr:colOff>
      <xdr:row>38</xdr:row>
      <xdr:rowOff>127000</xdr:rowOff>
    </xdr:to>
    <xdr:graphicFrame macro="">
      <xdr:nvGraphicFramePr>
        <xdr:cNvPr id="6" name="Chart 5">
          <a:extLst>
            <a:ext uri="{FF2B5EF4-FFF2-40B4-BE49-F238E27FC236}">
              <a16:creationId xmlns:a16="http://schemas.microsoft.com/office/drawing/2014/main" id="{D84E7209-397E-1049-2261-107AB778B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577271</xdr:colOff>
      <xdr:row>39</xdr:row>
      <xdr:rowOff>83128</xdr:rowOff>
    </xdr:from>
    <xdr:to>
      <xdr:col>21</xdr:col>
      <xdr:colOff>357909</xdr:colOff>
      <xdr:row>58</xdr:row>
      <xdr:rowOff>0</xdr:rowOff>
    </xdr:to>
    <xdr:graphicFrame macro="">
      <xdr:nvGraphicFramePr>
        <xdr:cNvPr id="7" name="Chart 6">
          <a:extLst>
            <a:ext uri="{FF2B5EF4-FFF2-40B4-BE49-F238E27FC236}">
              <a16:creationId xmlns:a16="http://schemas.microsoft.com/office/drawing/2014/main" id="{0AB17B80-5D74-D5D0-9130-BD74D44DF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19050</xdr:colOff>
      <xdr:row>7</xdr:row>
      <xdr:rowOff>12700</xdr:rowOff>
    </xdr:from>
    <xdr:to>
      <xdr:col>15</xdr:col>
      <xdr:colOff>736600</xdr:colOff>
      <xdr:row>26</xdr:row>
      <xdr:rowOff>139700</xdr:rowOff>
    </xdr:to>
    <xdr:graphicFrame macro="">
      <xdr:nvGraphicFramePr>
        <xdr:cNvPr id="2" name="Chart 1">
          <a:extLst>
            <a:ext uri="{FF2B5EF4-FFF2-40B4-BE49-F238E27FC236}">
              <a16:creationId xmlns:a16="http://schemas.microsoft.com/office/drawing/2014/main" id="{4C2A77CF-DAF1-CDF9-FA2F-E6797CA67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425621</xdr:colOff>
      <xdr:row>1</xdr:row>
      <xdr:rowOff>70019</xdr:rowOff>
    </xdr:from>
    <xdr:to>
      <xdr:col>22</xdr:col>
      <xdr:colOff>228828</xdr:colOff>
      <xdr:row>18</xdr:row>
      <xdr:rowOff>91530</xdr:rowOff>
    </xdr:to>
    <xdr:graphicFrame macro="">
      <xdr:nvGraphicFramePr>
        <xdr:cNvPr id="2" name="Chart 1">
          <a:extLst>
            <a:ext uri="{FF2B5EF4-FFF2-40B4-BE49-F238E27FC236}">
              <a16:creationId xmlns:a16="http://schemas.microsoft.com/office/drawing/2014/main" id="{ED62C5EF-DDBD-A7C4-53F8-F41E860C7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461818</xdr:colOff>
      <xdr:row>20</xdr:row>
      <xdr:rowOff>25398</xdr:rowOff>
    </xdr:from>
    <xdr:to>
      <xdr:col>22</xdr:col>
      <xdr:colOff>207818</xdr:colOff>
      <xdr:row>38</xdr:row>
      <xdr:rowOff>34636</xdr:rowOff>
    </xdr:to>
    <xdr:graphicFrame macro="">
      <xdr:nvGraphicFramePr>
        <xdr:cNvPr id="3" name="Chart 2">
          <a:extLst>
            <a:ext uri="{FF2B5EF4-FFF2-40B4-BE49-F238E27FC236}">
              <a16:creationId xmlns:a16="http://schemas.microsoft.com/office/drawing/2014/main" id="{D06FE1CD-5372-5C7E-FEE0-A39D4CE41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336549</xdr:colOff>
      <xdr:row>1</xdr:row>
      <xdr:rowOff>177800</xdr:rowOff>
    </xdr:from>
    <xdr:to>
      <xdr:col>20</xdr:col>
      <xdr:colOff>238124</xdr:colOff>
      <xdr:row>18</xdr:row>
      <xdr:rowOff>47625</xdr:rowOff>
    </xdr:to>
    <xdr:graphicFrame macro="">
      <xdr:nvGraphicFramePr>
        <xdr:cNvPr id="2" name="Chart 1">
          <a:extLst>
            <a:ext uri="{FF2B5EF4-FFF2-40B4-BE49-F238E27FC236}">
              <a16:creationId xmlns:a16="http://schemas.microsoft.com/office/drawing/2014/main" id="{6C61243A-C9DB-DCA7-FBAD-BF9B80768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111760</xdr:colOff>
      <xdr:row>60</xdr:row>
      <xdr:rowOff>104427</xdr:rowOff>
    </xdr:from>
    <xdr:to>
      <xdr:col>7</xdr:col>
      <xdr:colOff>447040</xdr:colOff>
      <xdr:row>68</xdr:row>
      <xdr:rowOff>168011</xdr:rowOff>
    </xdr:to>
    <xdr:pic>
      <xdr:nvPicPr>
        <xdr:cNvPr id="3" name="Picture 2">
          <a:extLst>
            <a:ext uri="{FF2B5EF4-FFF2-40B4-BE49-F238E27FC236}">
              <a16:creationId xmlns:a16="http://schemas.microsoft.com/office/drawing/2014/main" id="{ECD273D5-F372-60A8-1FF9-DB09A31C524A}"/>
            </a:ext>
          </a:extLst>
        </xdr:cNvPr>
        <xdr:cNvPicPr>
          <a:picLocks noChangeAspect="1"/>
        </xdr:cNvPicPr>
      </xdr:nvPicPr>
      <xdr:blipFill>
        <a:blip xmlns:r="http://schemas.openxmlformats.org/officeDocument/2006/relationships" r:embed="rId1"/>
        <a:stretch>
          <a:fillRect/>
        </a:stretch>
      </xdr:blipFill>
      <xdr:spPr>
        <a:xfrm>
          <a:off x="111760" y="12224644"/>
          <a:ext cx="7808034" cy="1609671"/>
        </a:xfrm>
        <a:prstGeom prst="rect">
          <a:avLst/>
        </a:prstGeom>
      </xdr:spPr>
    </xdr:pic>
    <xdr:clientData/>
  </xdr:twoCellAnchor>
  <xdr:twoCellAnchor editAs="oneCell">
    <xdr:from>
      <xdr:col>0</xdr:col>
      <xdr:colOff>101599</xdr:colOff>
      <xdr:row>68</xdr:row>
      <xdr:rowOff>192111</xdr:rowOff>
    </xdr:from>
    <xdr:to>
      <xdr:col>11</xdr:col>
      <xdr:colOff>94342</xdr:colOff>
      <xdr:row>82</xdr:row>
      <xdr:rowOff>19170</xdr:rowOff>
    </xdr:to>
    <xdr:pic>
      <xdr:nvPicPr>
        <xdr:cNvPr id="4" name="Picture 3">
          <a:extLst>
            <a:ext uri="{FF2B5EF4-FFF2-40B4-BE49-F238E27FC236}">
              <a16:creationId xmlns:a16="http://schemas.microsoft.com/office/drawing/2014/main" id="{7A4BF871-2BB4-4DD2-DEC1-36458C9F8906}"/>
            </a:ext>
          </a:extLst>
        </xdr:cNvPr>
        <xdr:cNvPicPr>
          <a:picLocks noChangeAspect="1"/>
        </xdr:cNvPicPr>
      </xdr:nvPicPr>
      <xdr:blipFill>
        <a:blip xmlns:r="http://schemas.openxmlformats.org/officeDocument/2006/relationships" r:embed="rId2"/>
        <a:stretch>
          <a:fillRect/>
        </a:stretch>
      </xdr:blipFill>
      <xdr:spPr>
        <a:xfrm>
          <a:off x="101599" y="13858415"/>
          <a:ext cx="10778540" cy="2532712"/>
        </a:xfrm>
        <a:prstGeom prst="rect">
          <a:avLst/>
        </a:prstGeom>
      </xdr:spPr>
    </xdr:pic>
    <xdr:clientData/>
  </xdr:twoCellAnchor>
  <xdr:twoCellAnchor editAs="oneCell">
    <xdr:from>
      <xdr:col>0</xdr:col>
      <xdr:colOff>354207</xdr:colOff>
      <xdr:row>39</xdr:row>
      <xdr:rowOff>58643</xdr:rowOff>
    </xdr:from>
    <xdr:to>
      <xdr:col>6</xdr:col>
      <xdr:colOff>341101</xdr:colOff>
      <xdr:row>58</xdr:row>
      <xdr:rowOff>99283</xdr:rowOff>
    </xdr:to>
    <xdr:pic>
      <xdr:nvPicPr>
        <xdr:cNvPr id="5" name="Picture 4">
          <a:extLst>
            <a:ext uri="{FF2B5EF4-FFF2-40B4-BE49-F238E27FC236}">
              <a16:creationId xmlns:a16="http://schemas.microsoft.com/office/drawing/2014/main" id="{980877BF-17C3-E88F-1D13-B63ECA55E05F}"/>
            </a:ext>
          </a:extLst>
        </xdr:cNvPr>
        <xdr:cNvPicPr>
          <a:picLocks noChangeAspect="1"/>
        </xdr:cNvPicPr>
      </xdr:nvPicPr>
      <xdr:blipFill>
        <a:blip xmlns:r="http://schemas.openxmlformats.org/officeDocument/2006/relationships" r:embed="rId3"/>
        <a:stretch>
          <a:fillRect/>
        </a:stretch>
      </xdr:blipFill>
      <xdr:spPr>
        <a:xfrm>
          <a:off x="354207" y="8120382"/>
          <a:ext cx="6631387" cy="3712597"/>
        </a:xfrm>
        <a:prstGeom prst="rect">
          <a:avLst/>
        </a:prstGeom>
      </xdr:spPr>
    </xdr:pic>
    <xdr:clientData/>
  </xdr:twoCellAnchor>
  <xdr:twoCellAnchor>
    <xdr:from>
      <xdr:col>13</xdr:col>
      <xdr:colOff>2853</xdr:colOff>
      <xdr:row>5</xdr:row>
      <xdr:rowOff>144455</xdr:rowOff>
    </xdr:from>
    <xdr:to>
      <xdr:col>23</xdr:col>
      <xdr:colOff>798336</xdr:colOff>
      <xdr:row>24</xdr:row>
      <xdr:rowOff>48232</xdr:rowOff>
    </xdr:to>
    <xdr:graphicFrame macro="">
      <xdr:nvGraphicFramePr>
        <xdr:cNvPr id="9" name="Chart 8">
          <a:extLst>
            <a:ext uri="{FF2B5EF4-FFF2-40B4-BE49-F238E27FC236}">
              <a16:creationId xmlns:a16="http://schemas.microsoft.com/office/drawing/2014/main" id="{EA68A2B0-0E4E-7225-9C0F-F05B7B97B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1073058</xdr:colOff>
      <xdr:row>7</xdr:row>
      <xdr:rowOff>57429</xdr:rowOff>
    </xdr:from>
    <xdr:to>
      <xdr:col>8</xdr:col>
      <xdr:colOff>532665</xdr:colOff>
      <xdr:row>14</xdr:row>
      <xdr:rowOff>57690</xdr:rowOff>
    </xdr:to>
    <xdr:pic>
      <xdr:nvPicPr>
        <xdr:cNvPr id="15" name="Picture 14">
          <a:extLst>
            <a:ext uri="{FF2B5EF4-FFF2-40B4-BE49-F238E27FC236}">
              <a16:creationId xmlns:a16="http://schemas.microsoft.com/office/drawing/2014/main" id="{11F53929-7676-4E07-DFC0-6EBBFD735754}"/>
            </a:ext>
          </a:extLst>
        </xdr:cNvPr>
        <xdr:cNvPicPr>
          <a:picLocks noChangeAspect="1"/>
        </xdr:cNvPicPr>
      </xdr:nvPicPr>
      <xdr:blipFill>
        <a:blip xmlns:r="http://schemas.openxmlformats.org/officeDocument/2006/relationships" r:embed="rId5"/>
        <a:stretch>
          <a:fillRect/>
        </a:stretch>
      </xdr:blipFill>
      <xdr:spPr>
        <a:xfrm>
          <a:off x="1073058" y="1852362"/>
          <a:ext cx="7773874" cy="1304128"/>
        </a:xfrm>
        <a:prstGeom prst="rect">
          <a:avLst/>
        </a:prstGeom>
      </xdr:spPr>
    </xdr:pic>
    <xdr:clientData/>
  </xdr:twoCellAnchor>
  <xdr:twoCellAnchor editAs="oneCell">
    <xdr:from>
      <xdr:col>0</xdr:col>
      <xdr:colOff>460143</xdr:colOff>
      <xdr:row>15</xdr:row>
      <xdr:rowOff>101231</xdr:rowOff>
    </xdr:from>
    <xdr:to>
      <xdr:col>7</xdr:col>
      <xdr:colOff>746537</xdr:colOff>
      <xdr:row>21</xdr:row>
      <xdr:rowOff>192663</xdr:rowOff>
    </xdr:to>
    <xdr:pic>
      <xdr:nvPicPr>
        <xdr:cNvPr id="11" name="Picture 10">
          <a:extLst>
            <a:ext uri="{FF2B5EF4-FFF2-40B4-BE49-F238E27FC236}">
              <a16:creationId xmlns:a16="http://schemas.microsoft.com/office/drawing/2014/main" id="{8DCB4507-0932-1641-A188-FC587189EF20}"/>
            </a:ext>
          </a:extLst>
        </xdr:cNvPr>
        <xdr:cNvPicPr>
          <a:picLocks noChangeAspect="1"/>
        </xdr:cNvPicPr>
      </xdr:nvPicPr>
      <xdr:blipFill>
        <a:blip xmlns:r="http://schemas.openxmlformats.org/officeDocument/2006/relationships" r:embed="rId6"/>
        <a:stretch>
          <a:fillRect/>
        </a:stretch>
      </xdr:blipFill>
      <xdr:spPr>
        <a:xfrm>
          <a:off x="460143" y="3469492"/>
          <a:ext cx="7759148" cy="1287809"/>
        </a:xfrm>
        <a:prstGeom prst="rect">
          <a:avLst/>
        </a:prstGeom>
      </xdr:spPr>
    </xdr:pic>
    <xdr:clientData/>
  </xdr:twoCellAnchor>
  <xdr:twoCellAnchor editAs="oneCell">
    <xdr:from>
      <xdr:col>1</xdr:col>
      <xdr:colOff>147246</xdr:colOff>
      <xdr:row>23</xdr:row>
      <xdr:rowOff>10307</xdr:rowOff>
    </xdr:from>
    <xdr:to>
      <xdr:col>10</xdr:col>
      <xdr:colOff>452046</xdr:colOff>
      <xdr:row>29</xdr:row>
      <xdr:rowOff>65693</xdr:rowOff>
    </xdr:to>
    <xdr:pic>
      <xdr:nvPicPr>
        <xdr:cNvPr id="12" name="Picture 11">
          <a:extLst>
            <a:ext uri="{FF2B5EF4-FFF2-40B4-BE49-F238E27FC236}">
              <a16:creationId xmlns:a16="http://schemas.microsoft.com/office/drawing/2014/main" id="{4B968F8E-DECC-F940-A42E-2AD9B45C1624}"/>
            </a:ext>
          </a:extLst>
        </xdr:cNvPr>
        <xdr:cNvPicPr>
          <a:picLocks noChangeAspect="1"/>
        </xdr:cNvPicPr>
      </xdr:nvPicPr>
      <xdr:blipFill>
        <a:blip xmlns:r="http://schemas.openxmlformats.org/officeDocument/2006/relationships" r:embed="rId7"/>
        <a:stretch>
          <a:fillRect/>
        </a:stretch>
      </xdr:blipFill>
      <xdr:spPr>
        <a:xfrm>
          <a:off x="2650434" y="4979872"/>
          <a:ext cx="7759148" cy="1214951"/>
        </a:xfrm>
        <a:prstGeom prst="rect">
          <a:avLst/>
        </a:prstGeom>
      </xdr:spPr>
    </xdr:pic>
    <xdr:clientData/>
  </xdr:twoCellAnchor>
  <xdr:twoCellAnchor editAs="oneCell">
    <xdr:from>
      <xdr:col>0</xdr:col>
      <xdr:colOff>552173</xdr:colOff>
      <xdr:row>30</xdr:row>
      <xdr:rowOff>87794</xdr:rowOff>
    </xdr:from>
    <xdr:to>
      <xdr:col>8</xdr:col>
      <xdr:colOff>10307</xdr:colOff>
      <xdr:row>37</xdr:row>
      <xdr:rowOff>109785</xdr:rowOff>
    </xdr:to>
    <xdr:pic>
      <xdr:nvPicPr>
        <xdr:cNvPr id="14" name="Picture 13">
          <a:extLst>
            <a:ext uri="{FF2B5EF4-FFF2-40B4-BE49-F238E27FC236}">
              <a16:creationId xmlns:a16="http://schemas.microsoft.com/office/drawing/2014/main" id="{EF840F39-D332-664F-BFB1-4ED32F2D4803}"/>
            </a:ext>
          </a:extLst>
        </xdr:cNvPr>
        <xdr:cNvPicPr>
          <a:picLocks noChangeAspect="1"/>
        </xdr:cNvPicPr>
      </xdr:nvPicPr>
      <xdr:blipFill>
        <a:blip xmlns:r="http://schemas.openxmlformats.org/officeDocument/2006/relationships" r:embed="rId8"/>
        <a:stretch>
          <a:fillRect/>
        </a:stretch>
      </xdr:blipFill>
      <xdr:spPr>
        <a:xfrm>
          <a:off x="552173" y="6410185"/>
          <a:ext cx="7759148" cy="1374817"/>
        </a:xfrm>
        <a:prstGeom prst="rect">
          <a:avLst/>
        </a:prstGeom>
      </xdr:spPr>
    </xdr:pic>
    <xdr:clientData/>
  </xdr:twoCellAnchor>
  <xdr:twoCellAnchor>
    <xdr:from>
      <xdr:col>12</xdr:col>
      <xdr:colOff>266699</xdr:colOff>
      <xdr:row>32</xdr:row>
      <xdr:rowOff>182032</xdr:rowOff>
    </xdr:from>
    <xdr:to>
      <xdr:col>16</xdr:col>
      <xdr:colOff>548200</xdr:colOff>
      <xdr:row>48</xdr:row>
      <xdr:rowOff>100504</xdr:rowOff>
    </xdr:to>
    <xdr:graphicFrame macro="">
      <xdr:nvGraphicFramePr>
        <xdr:cNvPr id="21" name="Chart 20">
          <a:extLst>
            <a:ext uri="{FF2B5EF4-FFF2-40B4-BE49-F238E27FC236}">
              <a16:creationId xmlns:a16="http://schemas.microsoft.com/office/drawing/2014/main" id="{F45A1362-E63D-5BFE-A8A3-9EC480BBF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295114</xdr:colOff>
      <xdr:row>32</xdr:row>
      <xdr:rowOff>186205</xdr:rowOff>
    </xdr:from>
    <xdr:to>
      <xdr:col>22</xdr:col>
      <xdr:colOff>63957</xdr:colOff>
      <xdr:row>48</xdr:row>
      <xdr:rowOff>91367</xdr:rowOff>
    </xdr:to>
    <xdr:graphicFrame macro="">
      <xdr:nvGraphicFramePr>
        <xdr:cNvPr id="22" name="Chart 21">
          <a:extLst>
            <a:ext uri="{FF2B5EF4-FFF2-40B4-BE49-F238E27FC236}">
              <a16:creationId xmlns:a16="http://schemas.microsoft.com/office/drawing/2014/main" id="{53C7C3B1-27A7-54E7-4608-B322B699A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3"/>
  <sheetViews>
    <sheetView zoomScale="125" zoomScaleNormal="168" workbookViewId="0">
      <selection activeCell="I6" sqref="I6"/>
    </sheetView>
  </sheetViews>
  <sheetFormatPr baseColWidth="10" defaultColWidth="8.83203125" defaultRowHeight="15" x14ac:dyDescent="0.2"/>
  <cols>
    <col min="1" max="1" width="45.6640625" customWidth="1"/>
    <col min="2" max="6" width="15.6640625" customWidth="1"/>
    <col min="7" max="7" width="14.83203125" customWidth="1"/>
  </cols>
  <sheetData>
    <row r="1" spans="1:6" x14ac:dyDescent="0.2">
      <c r="A1" s="20"/>
      <c r="B1" s="1">
        <v>2020</v>
      </c>
      <c r="C1" s="1">
        <v>2021</v>
      </c>
      <c r="D1" s="1">
        <v>2022</v>
      </c>
      <c r="E1" s="1">
        <v>2023</v>
      </c>
      <c r="F1" s="1">
        <v>2024</v>
      </c>
    </row>
    <row r="2" spans="1:6" ht="16" x14ac:dyDescent="0.2">
      <c r="A2" s="34" t="s">
        <v>44</v>
      </c>
      <c r="B2" s="34"/>
      <c r="C2" s="34"/>
      <c r="D2" s="34"/>
      <c r="E2" s="34"/>
      <c r="F2" s="34"/>
    </row>
    <row r="3" spans="1:6" x14ac:dyDescent="0.2">
      <c r="A3" s="45" t="s">
        <v>45</v>
      </c>
      <c r="B3" s="45">
        <v>31536000000</v>
      </c>
      <c r="C3" s="45">
        <v>53823000000</v>
      </c>
      <c r="D3" s="45">
        <v>81462000000</v>
      </c>
      <c r="E3" s="45">
        <v>96773000000</v>
      </c>
      <c r="F3" s="45">
        <v>97690000000</v>
      </c>
    </row>
    <row r="4" spans="1:6" x14ac:dyDescent="0.2">
      <c r="A4" s="1"/>
      <c r="B4" s="20"/>
      <c r="C4" s="20"/>
      <c r="D4" s="20"/>
      <c r="E4" s="20"/>
      <c r="F4" s="20"/>
    </row>
    <row r="5" spans="1:6" ht="16" x14ac:dyDescent="0.2">
      <c r="A5" s="34" t="s">
        <v>46</v>
      </c>
      <c r="B5" s="34"/>
      <c r="C5" s="34"/>
      <c r="D5" s="34"/>
      <c r="E5" s="34"/>
      <c r="F5" s="34"/>
    </row>
    <row r="6" spans="1:6" x14ac:dyDescent="0.2">
      <c r="A6" s="45" t="s">
        <v>47</v>
      </c>
      <c r="B6" s="45">
        <v>24906000000</v>
      </c>
      <c r="C6" s="45">
        <v>40217000000</v>
      </c>
      <c r="D6" s="45">
        <v>60609000000</v>
      </c>
      <c r="E6" s="45">
        <v>79113000000</v>
      </c>
      <c r="F6" s="45">
        <v>80240000000</v>
      </c>
    </row>
    <row r="7" spans="1:6" x14ac:dyDescent="0.2">
      <c r="A7" s="45" t="s">
        <v>48</v>
      </c>
      <c r="B7" s="45">
        <v>6630000000</v>
      </c>
      <c r="C7" s="45">
        <v>13606000000</v>
      </c>
      <c r="D7" s="45">
        <v>20853000000</v>
      </c>
      <c r="E7" s="45">
        <v>17660000000</v>
      </c>
      <c r="F7" s="45">
        <v>17450000000</v>
      </c>
    </row>
    <row r="8" spans="1:6" x14ac:dyDescent="0.2">
      <c r="A8" s="52" t="s">
        <v>240</v>
      </c>
      <c r="B8" s="52">
        <v>0.21023592090000001</v>
      </c>
      <c r="C8" s="52">
        <v>0.25279155749999999</v>
      </c>
      <c r="D8" s="52">
        <v>0.25598438540000001</v>
      </c>
      <c r="E8" s="52">
        <v>0.18248891740000001</v>
      </c>
      <c r="F8" s="52">
        <v>0.17862626679999999</v>
      </c>
    </row>
    <row r="9" spans="1:6" x14ac:dyDescent="0.2">
      <c r="A9" s="1"/>
      <c r="B9" s="20"/>
      <c r="C9" s="20"/>
      <c r="D9" s="20"/>
      <c r="E9" s="20"/>
      <c r="F9" s="20"/>
    </row>
    <row r="10" spans="1:6" ht="16" x14ac:dyDescent="0.2">
      <c r="A10" s="34" t="s">
        <v>50</v>
      </c>
      <c r="B10" s="34"/>
      <c r="C10" s="34"/>
      <c r="D10" s="34"/>
      <c r="E10" s="34"/>
      <c r="F10" s="34"/>
    </row>
    <row r="11" spans="1:6" x14ac:dyDescent="0.2">
      <c r="A11" s="17" t="s">
        <v>229</v>
      </c>
      <c r="B11" s="17">
        <v>1491000000</v>
      </c>
      <c r="C11" s="17">
        <v>2593000000</v>
      </c>
      <c r="D11" s="17">
        <v>3075000000</v>
      </c>
      <c r="E11" s="17">
        <v>3969000000</v>
      </c>
      <c r="F11" s="17">
        <v>4540000000</v>
      </c>
    </row>
    <row r="12" spans="1:6" x14ac:dyDescent="0.2">
      <c r="A12" s="17" t="s">
        <v>230</v>
      </c>
      <c r="B12" s="17">
        <v>3145000000</v>
      </c>
      <c r="C12" s="17">
        <v>4517000000</v>
      </c>
      <c r="D12" s="17">
        <v>3946000000</v>
      </c>
      <c r="E12" s="17">
        <v>4800000000</v>
      </c>
      <c r="F12" s="17">
        <v>5150000000</v>
      </c>
    </row>
    <row r="13" spans="1:6" x14ac:dyDescent="0.2">
      <c r="A13" s="17" t="s">
        <v>231</v>
      </c>
      <c r="B13" s="17">
        <v>0</v>
      </c>
      <c r="C13" s="17">
        <v>-27000000</v>
      </c>
      <c r="D13" s="17">
        <v>176000000</v>
      </c>
      <c r="E13" s="17">
        <v>0</v>
      </c>
      <c r="F13" s="17">
        <v>684000000</v>
      </c>
    </row>
    <row r="14" spans="1:6" x14ac:dyDescent="0.2">
      <c r="A14" s="45" t="s">
        <v>54</v>
      </c>
      <c r="B14" s="45">
        <v>4636000000</v>
      </c>
      <c r="C14" s="45">
        <v>7110000000</v>
      </c>
      <c r="D14" s="45">
        <v>7197000000</v>
      </c>
      <c r="E14" s="45">
        <v>8769000000</v>
      </c>
      <c r="F14" s="45">
        <v>10374000000</v>
      </c>
    </row>
    <row r="15" spans="1:6" x14ac:dyDescent="0.2">
      <c r="A15" s="1"/>
      <c r="B15" s="17"/>
      <c r="C15" s="20"/>
      <c r="D15" s="20"/>
      <c r="E15" s="20"/>
      <c r="F15" s="20"/>
    </row>
    <row r="16" spans="1:6" ht="16" x14ac:dyDescent="0.2">
      <c r="A16" s="34" t="s">
        <v>145</v>
      </c>
      <c r="B16" s="34"/>
      <c r="C16" s="34"/>
      <c r="D16" s="34"/>
      <c r="E16" s="34"/>
      <c r="F16" s="34"/>
    </row>
    <row r="17" spans="1:7" x14ac:dyDescent="0.2">
      <c r="A17" s="17" t="s">
        <v>232</v>
      </c>
      <c r="B17" s="17">
        <v>1994000000</v>
      </c>
      <c r="C17" s="17">
        <v>6523000000</v>
      </c>
      <c r="D17" s="17">
        <v>13656000000</v>
      </c>
      <c r="E17" s="17">
        <v>8891000000</v>
      </c>
      <c r="F17" s="17">
        <v>7076000000</v>
      </c>
    </row>
    <row r="18" spans="1:7" x14ac:dyDescent="0.2">
      <c r="A18" s="52" t="s">
        <v>239</v>
      </c>
      <c r="B18" s="52">
        <v>6.3229325200000006E-2</v>
      </c>
      <c r="C18" s="52">
        <v>0.1211935418</v>
      </c>
      <c r="D18" s="52">
        <v>0.167636444</v>
      </c>
      <c r="E18" s="52">
        <v>9.1874799800000004E-2</v>
      </c>
      <c r="F18" s="52">
        <v>7.2433207099999994E-2</v>
      </c>
      <c r="G18" s="71">
        <f>AVERAGE(B18:F18)</f>
        <v>0.10327346358</v>
      </c>
    </row>
    <row r="19" spans="1:7" x14ac:dyDescent="0.2">
      <c r="A19" s="7"/>
      <c r="B19" s="20"/>
      <c r="C19" s="20"/>
      <c r="D19" s="20"/>
      <c r="E19" s="20"/>
      <c r="F19" s="20"/>
    </row>
    <row r="20" spans="1:7" ht="16" x14ac:dyDescent="0.2">
      <c r="A20" s="34" t="s">
        <v>148</v>
      </c>
      <c r="B20" s="34"/>
      <c r="C20" s="34"/>
      <c r="D20" s="34"/>
      <c r="E20" s="34"/>
      <c r="F20" s="34"/>
    </row>
    <row r="21" spans="1:7" x14ac:dyDescent="0.2">
      <c r="A21" s="17" t="s">
        <v>233</v>
      </c>
      <c r="B21" s="17">
        <v>30000000</v>
      </c>
      <c r="C21" s="17">
        <v>56000000</v>
      </c>
      <c r="D21" s="17">
        <v>297000000</v>
      </c>
      <c r="E21" s="17">
        <v>1066000000</v>
      </c>
      <c r="F21" s="17">
        <v>1569000000</v>
      </c>
    </row>
    <row r="22" spans="1:7" x14ac:dyDescent="0.2">
      <c r="A22" s="17" t="s">
        <v>234</v>
      </c>
      <c r="B22" s="17">
        <v>748000000</v>
      </c>
      <c r="C22" s="17">
        <v>371000000</v>
      </c>
      <c r="D22" s="17">
        <v>191000000</v>
      </c>
      <c r="E22" s="17">
        <v>156000000</v>
      </c>
      <c r="F22" s="17">
        <v>350000000</v>
      </c>
    </row>
    <row r="23" spans="1:7" x14ac:dyDescent="0.2">
      <c r="A23" s="17" t="s">
        <v>235</v>
      </c>
      <c r="B23" s="17">
        <v>-840000000</v>
      </c>
      <c r="C23" s="17">
        <v>-180000000</v>
      </c>
      <c r="D23" s="17">
        <v>63000000</v>
      </c>
      <c r="E23" s="17">
        <v>1082000000</v>
      </c>
      <c r="F23" s="17">
        <v>1914000000</v>
      </c>
    </row>
    <row r="24" spans="1:7" x14ac:dyDescent="0.2">
      <c r="A24" s="45" t="s">
        <v>62</v>
      </c>
      <c r="B24" s="45">
        <f>SUM(B21:B23)</f>
        <v>-62000000</v>
      </c>
      <c r="C24" s="45">
        <f t="shared" ref="C24:F24" si="0">SUM(C21:C23)</f>
        <v>247000000</v>
      </c>
      <c r="D24" s="45">
        <f t="shared" si="0"/>
        <v>551000000</v>
      </c>
      <c r="E24" s="45">
        <f t="shared" si="0"/>
        <v>2304000000</v>
      </c>
      <c r="F24" s="45">
        <f t="shared" si="0"/>
        <v>3833000000</v>
      </c>
    </row>
    <row r="25" spans="1:7" x14ac:dyDescent="0.2">
      <c r="A25" s="1"/>
      <c r="B25" s="20"/>
      <c r="C25" s="20"/>
      <c r="D25" s="20"/>
      <c r="E25" s="20"/>
      <c r="F25" s="20"/>
    </row>
    <row r="26" spans="1:7" ht="16" x14ac:dyDescent="0.2">
      <c r="A26" s="34" t="s">
        <v>147</v>
      </c>
      <c r="B26" s="34"/>
      <c r="C26" s="34"/>
      <c r="D26" s="34"/>
      <c r="E26" s="34"/>
      <c r="F26" s="34"/>
    </row>
    <row r="27" spans="1:7" x14ac:dyDescent="0.2">
      <c r="A27" s="17" t="s">
        <v>236</v>
      </c>
      <c r="B27" s="17">
        <v>1154000000</v>
      </c>
      <c r="C27" s="17">
        <v>6343000000</v>
      </c>
      <c r="D27" s="17">
        <v>13719000000</v>
      </c>
      <c r="E27" s="17">
        <v>9973000000</v>
      </c>
      <c r="F27" s="17">
        <v>8990000000</v>
      </c>
    </row>
    <row r="28" spans="1:7" x14ac:dyDescent="0.2">
      <c r="A28" s="52" t="s">
        <v>237</v>
      </c>
      <c r="B28" s="52">
        <v>3.6593099900000002E-2</v>
      </c>
      <c r="C28" s="52">
        <v>0.1178492466</v>
      </c>
      <c r="D28" s="52">
        <v>0.1684098107</v>
      </c>
      <c r="E28" s="52">
        <v>0.1030556044</v>
      </c>
      <c r="F28" s="52">
        <v>9.2025795899999999E-2</v>
      </c>
    </row>
    <row r="29" spans="1:7" x14ac:dyDescent="0.2">
      <c r="A29" s="17" t="s">
        <v>238</v>
      </c>
      <c r="B29" s="17">
        <v>292000000</v>
      </c>
      <c r="C29" s="17">
        <v>699000000</v>
      </c>
      <c r="D29" s="17">
        <v>1132000000</v>
      </c>
      <c r="E29" s="17">
        <v>-5001000000</v>
      </c>
      <c r="F29" s="17">
        <v>1837000000</v>
      </c>
    </row>
    <row r="30" spans="1:7" x14ac:dyDescent="0.2">
      <c r="A30" s="1"/>
      <c r="B30" s="20"/>
      <c r="C30" s="20"/>
      <c r="D30" s="20"/>
      <c r="E30" s="20"/>
      <c r="F30" s="20"/>
    </row>
    <row r="31" spans="1:7" ht="16" x14ac:dyDescent="0.2">
      <c r="A31" s="34" t="s">
        <v>146</v>
      </c>
      <c r="B31" s="34"/>
      <c r="C31" s="34"/>
      <c r="D31" s="34"/>
      <c r="E31" s="34"/>
      <c r="F31" s="34"/>
    </row>
    <row r="32" spans="1:7" x14ac:dyDescent="0.2">
      <c r="A32" s="45" t="s">
        <v>68</v>
      </c>
      <c r="B32" s="45">
        <v>721000000</v>
      </c>
      <c r="C32" s="45">
        <v>5524000000</v>
      </c>
      <c r="D32" s="45">
        <v>12583000000</v>
      </c>
      <c r="E32" s="45">
        <v>14999000000</v>
      </c>
      <c r="F32" s="45">
        <v>7130000000</v>
      </c>
    </row>
    <row r="33" spans="1:8" x14ac:dyDescent="0.2">
      <c r="A33" s="52" t="s">
        <v>241</v>
      </c>
      <c r="B33" s="52">
        <v>2.2862759999999999E-2</v>
      </c>
      <c r="C33" s="52">
        <v>0.10263270350000001</v>
      </c>
      <c r="D33" s="52">
        <v>0.15446465840000001</v>
      </c>
      <c r="E33" s="52">
        <v>0.15499157820000001</v>
      </c>
      <c r="F33" s="52">
        <v>7.2985975999999994E-2</v>
      </c>
    </row>
    <row r="34" spans="1:8" x14ac:dyDescent="0.2">
      <c r="A34" s="1"/>
      <c r="B34" s="20"/>
      <c r="C34" s="20"/>
      <c r="D34" s="20"/>
      <c r="E34" s="20"/>
      <c r="F34" s="20"/>
    </row>
    <row r="35" spans="1:8" ht="16" x14ac:dyDescent="0.2">
      <c r="A35" s="34" t="s">
        <v>70</v>
      </c>
      <c r="B35" s="34"/>
      <c r="C35" s="34"/>
      <c r="D35" s="34"/>
      <c r="E35" s="34"/>
      <c r="F35" s="34"/>
    </row>
    <row r="36" spans="1:8" x14ac:dyDescent="0.2">
      <c r="A36" s="17" t="s">
        <v>242</v>
      </c>
      <c r="B36" s="17">
        <v>2799000000</v>
      </c>
      <c r="C36" s="17">
        <v>2959000000</v>
      </c>
      <c r="D36" s="17">
        <v>3130000000</v>
      </c>
      <c r="E36" s="17">
        <v>3174000000</v>
      </c>
      <c r="F36" s="17">
        <v>3213000000</v>
      </c>
    </row>
    <row r="37" spans="1:8" x14ac:dyDescent="0.2">
      <c r="A37" s="17" t="s">
        <v>243</v>
      </c>
      <c r="B37" s="17">
        <v>3249000000</v>
      </c>
      <c r="C37" s="17">
        <v>3386000000</v>
      </c>
      <c r="D37" s="17">
        <v>3475000000</v>
      </c>
      <c r="E37" s="17">
        <v>3485000000</v>
      </c>
      <c r="F37" s="17">
        <v>3517000000</v>
      </c>
    </row>
    <row r="38" spans="1:8" x14ac:dyDescent="0.2">
      <c r="A38" s="17" t="s">
        <v>244</v>
      </c>
      <c r="B38" s="40">
        <v>0.25</v>
      </c>
      <c r="C38" s="40">
        <v>1.87</v>
      </c>
      <c r="D38" s="40">
        <v>4.0199999999999996</v>
      </c>
      <c r="E38" s="40">
        <v>4.7300000000000004</v>
      </c>
      <c r="F38" s="40">
        <v>2.23</v>
      </c>
    </row>
    <row r="39" spans="1:8" x14ac:dyDescent="0.2">
      <c r="A39" s="17" t="s">
        <v>245</v>
      </c>
      <c r="B39" s="40">
        <v>0.21</v>
      </c>
      <c r="C39" s="40">
        <v>1.63</v>
      </c>
      <c r="D39" s="40">
        <v>3.62</v>
      </c>
      <c r="E39" s="53">
        <v>4.3</v>
      </c>
      <c r="F39" s="40">
        <v>2.04</v>
      </c>
    </row>
    <row r="40" spans="1:8" x14ac:dyDescent="0.2">
      <c r="A40" s="20"/>
      <c r="B40" s="20"/>
      <c r="C40" s="20"/>
      <c r="D40" s="20"/>
      <c r="E40" s="20"/>
      <c r="F40" s="20"/>
    </row>
    <row r="41" spans="1:8" x14ac:dyDescent="0.2">
      <c r="A41" s="26" t="s">
        <v>89</v>
      </c>
      <c r="B41" s="20">
        <f>B29/B27</f>
        <v>0.2530329289428076</v>
      </c>
      <c r="C41" s="20">
        <f>C29/C27</f>
        <v>0.11020022071574964</v>
      </c>
      <c r="D41" s="20">
        <f>D29/D27</f>
        <v>8.2513302718857054E-2</v>
      </c>
      <c r="E41" s="20">
        <f>E29/E27</f>
        <v>-0.50145392559911761</v>
      </c>
      <c r="F41" s="20">
        <f>F29/F27</f>
        <v>0.20433815350389323</v>
      </c>
      <c r="G41" s="83">
        <f>AVERAGE((B41,C41,D41,F41))</f>
        <v>0.16252115147032686</v>
      </c>
      <c r="H41" t="s">
        <v>90</v>
      </c>
    </row>
    <row r="42" spans="1:8" x14ac:dyDescent="0.2">
      <c r="A42" s="54" t="s">
        <v>91</v>
      </c>
      <c r="B42" s="17">
        <f>B17*(1-$G$41)</f>
        <v>1669932823.9681683</v>
      </c>
      <c r="C42" s="17">
        <f t="shared" ref="C42:F42" si="1">C17*(1-$G$41)</f>
        <v>5462874528.9590578</v>
      </c>
      <c r="D42" s="17">
        <f t="shared" si="1"/>
        <v>11436611155.521215</v>
      </c>
      <c r="E42" s="17">
        <f t="shared" si="1"/>
        <v>7446024442.2773237</v>
      </c>
      <c r="F42" s="17">
        <f t="shared" si="1"/>
        <v>5926000332.1959667</v>
      </c>
    </row>
    <row r="43" spans="1:8" x14ac:dyDescent="0.2">
      <c r="A43" s="26" t="s">
        <v>129</v>
      </c>
      <c r="B43" s="17">
        <f>B27-B29</f>
        <v>862000000</v>
      </c>
      <c r="C43" s="17">
        <f t="shared" ref="C43:F43" si="2">C27-C29</f>
        <v>5644000000</v>
      </c>
      <c r="D43" s="17">
        <f t="shared" si="2"/>
        <v>12587000000</v>
      </c>
      <c r="E43" s="17">
        <f t="shared" si="2"/>
        <v>14974000000</v>
      </c>
      <c r="F43" s="17">
        <f t="shared" si="2"/>
        <v>7153000000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C103-CF06-6749-B123-7578046B5A5B}">
  <dimension ref="A2:N39"/>
  <sheetViews>
    <sheetView topLeftCell="A4" zoomScale="106" workbookViewId="0">
      <selection activeCell="M23" sqref="M23"/>
    </sheetView>
  </sheetViews>
  <sheetFormatPr baseColWidth="10" defaultRowHeight="15" x14ac:dyDescent="0.2"/>
  <cols>
    <col min="1" max="1" width="40" customWidth="1"/>
    <col min="2" max="2" width="12.33203125" customWidth="1"/>
    <col min="3" max="3" width="11.33203125" customWidth="1"/>
    <col min="4" max="5" width="10.5" customWidth="1"/>
    <col min="6" max="6" width="9.5" customWidth="1"/>
    <col min="7" max="7" width="10.5" customWidth="1"/>
    <col min="8" max="8" width="10" customWidth="1"/>
    <col min="9" max="9" width="9.6640625" customWidth="1"/>
    <col min="10" max="11" width="9.33203125" customWidth="1"/>
    <col min="12" max="12" width="12.6640625" customWidth="1"/>
  </cols>
  <sheetData>
    <row r="2" spans="1:14" x14ac:dyDescent="0.2">
      <c r="A2" s="4" t="s">
        <v>332</v>
      </c>
    </row>
    <row r="3" spans="1:14" x14ac:dyDescent="0.2">
      <c r="A3" s="4"/>
    </row>
    <row r="4" spans="1:14" x14ac:dyDescent="0.2">
      <c r="A4" s="20" t="s">
        <v>328</v>
      </c>
      <c r="B4" s="20"/>
      <c r="C4" s="20"/>
      <c r="D4" s="20"/>
      <c r="E4" s="20"/>
      <c r="F4" s="20"/>
      <c r="G4" s="20">
        <v>1</v>
      </c>
      <c r="H4" s="20">
        <v>2</v>
      </c>
      <c r="I4" s="20">
        <v>3</v>
      </c>
      <c r="J4" s="20">
        <v>4</v>
      </c>
      <c r="K4" s="20">
        <v>5</v>
      </c>
      <c r="L4" s="29" t="s">
        <v>352</v>
      </c>
      <c r="M4" s="22" t="s">
        <v>353</v>
      </c>
      <c r="N4" s="81">
        <v>3.7999999999999999E-2</v>
      </c>
    </row>
    <row r="5" spans="1:14" x14ac:dyDescent="0.2">
      <c r="A5" s="20"/>
      <c r="B5" s="80">
        <v>2020</v>
      </c>
      <c r="C5" s="80">
        <v>2021</v>
      </c>
      <c r="D5" s="80">
        <v>2022</v>
      </c>
      <c r="E5" s="80">
        <v>2023</v>
      </c>
      <c r="F5" s="80">
        <v>2024</v>
      </c>
      <c r="G5" s="80" t="s">
        <v>166</v>
      </c>
      <c r="H5" s="80" t="s">
        <v>167</v>
      </c>
      <c r="I5" s="80" t="s">
        <v>168</v>
      </c>
      <c r="J5" s="80" t="s">
        <v>169</v>
      </c>
      <c r="K5" s="80" t="s">
        <v>171</v>
      </c>
      <c r="M5" s="75"/>
    </row>
    <row r="6" spans="1:14" x14ac:dyDescent="0.2">
      <c r="A6" s="20" t="s">
        <v>333</v>
      </c>
      <c r="B6" s="17">
        <f>'Historical IS'!B32/1000000</f>
        <v>721</v>
      </c>
      <c r="C6" s="17">
        <f>'Historical IS'!C32/1000000</f>
        <v>5524</v>
      </c>
      <c r="D6" s="17">
        <f>'Historical IS'!D32/1000000</f>
        <v>12583</v>
      </c>
      <c r="E6" s="17">
        <f>'Historical IS'!E32/1000000</f>
        <v>14999</v>
      </c>
      <c r="F6" s="17">
        <f>'Historical IS'!F32/1000000</f>
        <v>7130</v>
      </c>
      <c r="G6" s="17">
        <f>'Plan - Income Stat'!B25</f>
        <v>13544.416437040734</v>
      </c>
      <c r="H6" s="17">
        <f>'Plan - Income Stat'!C25</f>
        <v>13197.45240111473</v>
      </c>
      <c r="I6" s="17">
        <f>'Plan - Income Stat'!D25</f>
        <v>13874.032271170465</v>
      </c>
      <c r="J6" s="17">
        <f>'Plan - Income Stat'!E25</f>
        <v>15010.686452864113</v>
      </c>
      <c r="K6" s="17">
        <f>'Plan - Income Stat'!F25</f>
        <v>15931.376340035949</v>
      </c>
      <c r="M6" s="4"/>
    </row>
    <row r="7" spans="1:14" x14ac:dyDescent="0.2">
      <c r="A7" s="20" t="s">
        <v>202</v>
      </c>
      <c r="B7" s="17">
        <f>'Cash Flow'!B5/1000000</f>
        <v>2322</v>
      </c>
      <c r="C7" s="17">
        <f>'Cash Flow'!C5/1000000</f>
        <v>2911</v>
      </c>
      <c r="D7" s="17">
        <f>'Cash Flow'!D5/1000000</f>
        <v>3543</v>
      </c>
      <c r="E7" s="17">
        <f>'Cash Flow'!E5/1000000</f>
        <v>4667</v>
      </c>
      <c r="F7" s="17">
        <f>'Cash Flow'!F5/1000000</f>
        <v>5368</v>
      </c>
      <c r="G7" s="17">
        <f>'Plan of Investments'!B12</f>
        <v>6627.0872003469194</v>
      </c>
      <c r="H7" s="17">
        <f>'Plan of Investments'!C12</f>
        <v>8181.498651453423</v>
      </c>
      <c r="I7" s="17">
        <f>'Plan of Investments'!D12</f>
        <v>10100.503910712103</v>
      </c>
      <c r="J7" s="17">
        <f>'Plan of Investments'!E12</f>
        <v>12469.62000442142</v>
      </c>
      <c r="K7" s="17">
        <f>'Plan of Investments'!F12</f>
        <v>15394.422340627998</v>
      </c>
    </row>
    <row r="8" spans="1:14" x14ac:dyDescent="0.2">
      <c r="A8" s="20" t="s">
        <v>284</v>
      </c>
      <c r="B8" s="17">
        <f>'Historical IS'!B22/1000000</f>
        <v>748</v>
      </c>
      <c r="C8" s="17">
        <f>'Historical IS'!C22/1000000</f>
        <v>371</v>
      </c>
      <c r="D8" s="17">
        <f>'Historical IS'!D22/1000000</f>
        <v>191</v>
      </c>
      <c r="E8" s="17">
        <f>'Historical IS'!E22/1000000</f>
        <v>156</v>
      </c>
      <c r="F8" s="17">
        <f>'Historical IS'!F22/1000000</f>
        <v>350</v>
      </c>
      <c r="G8" s="20">
        <f>'Plan - Income Stat'!B22</f>
        <v>350</v>
      </c>
      <c r="H8" s="20">
        <f>'Plan - Income Stat'!C22</f>
        <v>350</v>
      </c>
      <c r="I8" s="20">
        <f>'Plan - Income Stat'!D22</f>
        <v>350</v>
      </c>
      <c r="J8" s="20">
        <f>'Plan - Income Stat'!E22</f>
        <v>350</v>
      </c>
      <c r="K8" s="20">
        <f>'Plan - Income Stat'!F22</f>
        <v>350</v>
      </c>
    </row>
    <row r="9" spans="1:14" x14ac:dyDescent="0.2">
      <c r="A9" s="20" t="s">
        <v>296</v>
      </c>
      <c r="B9" s="17">
        <f>-'Cash Flow'!B18/1000000</f>
        <v>3232</v>
      </c>
      <c r="C9" s="17">
        <f>-'Cash Flow'!C18/1000000</f>
        <v>6514</v>
      </c>
      <c r="D9" s="17">
        <f>-'Cash Flow'!D18/1000000</f>
        <v>7163</v>
      </c>
      <c r="E9" s="17">
        <f>-'Cash Flow'!E18/1000000</f>
        <v>8899</v>
      </c>
      <c r="F9" s="17">
        <f>-'Cash Flow'!F18/1000000</f>
        <v>11342</v>
      </c>
      <c r="G9" s="17">
        <f>'Plan of Investments'!B11</f>
        <v>11355.169760344681</v>
      </c>
      <c r="H9" s="17">
        <f>'Plan of Investments'!C11</f>
        <v>13858.516495472839</v>
      </c>
      <c r="I9" s="17">
        <f>'Plan of Investments'!D11</f>
        <v>16913.747967556847</v>
      </c>
      <c r="J9" s="17">
        <f>'Plan of Investments'!E11</f>
        <v>20642.53200575152</v>
      </c>
      <c r="K9" s="17">
        <f>'Plan of Investments'!F11</f>
        <v>25193.359178925195</v>
      </c>
    </row>
    <row r="10" spans="1:14" x14ac:dyDescent="0.2">
      <c r="A10" s="20" t="s">
        <v>334</v>
      </c>
      <c r="B10" s="20"/>
      <c r="C10" s="17">
        <f>C27</f>
        <v>-1634.4951999999998</v>
      </c>
      <c r="D10" s="17">
        <f t="shared" ref="D10:K10" si="0">D27</f>
        <v>3754.9960000000001</v>
      </c>
      <c r="E10" s="17">
        <f t="shared" si="0"/>
        <v>2030.8752000000004</v>
      </c>
      <c r="F10" s="17">
        <f t="shared" si="0"/>
        <v>934.70359999999891</v>
      </c>
      <c r="G10" s="17">
        <f t="shared" si="0"/>
        <v>-2700.1876626952385</v>
      </c>
      <c r="H10" s="17">
        <f t="shared" si="0"/>
        <v>-83.037928432618628</v>
      </c>
      <c r="I10" s="17">
        <f t="shared" si="0"/>
        <v>161.92396044361112</v>
      </c>
      <c r="J10" s="17">
        <f t="shared" si="0"/>
        <v>272.03225354526012</v>
      </c>
      <c r="K10" s="17">
        <f t="shared" si="0"/>
        <v>220.34612537165913</v>
      </c>
    </row>
    <row r="11" spans="1:14" x14ac:dyDescent="0.2">
      <c r="A11" s="8" t="s">
        <v>335</v>
      </c>
      <c r="B11" s="20"/>
      <c r="C11" s="17">
        <f>C6+C7+C8-C9-C10</f>
        <v>3926.4951999999998</v>
      </c>
      <c r="D11" s="17">
        <f t="shared" ref="D11:K11" si="1">D6+D7+D8-D9-D10</f>
        <v>5399.0039999999999</v>
      </c>
      <c r="E11" s="17">
        <f t="shared" si="1"/>
        <v>8892.1247999999996</v>
      </c>
      <c r="F11" s="17">
        <f t="shared" si="1"/>
        <v>571.29640000000109</v>
      </c>
      <c r="G11" s="17">
        <f t="shared" si="1"/>
        <v>11866.521539738211</v>
      </c>
      <c r="H11" s="17">
        <f t="shared" si="1"/>
        <v>7953.4724855279346</v>
      </c>
      <c r="I11" s="17">
        <f t="shared" si="1"/>
        <v>7248.8642538821114</v>
      </c>
      <c r="J11" s="17">
        <f t="shared" si="1"/>
        <v>6915.7421979887531</v>
      </c>
      <c r="K11" s="17">
        <f t="shared" si="1"/>
        <v>6262.093376367091</v>
      </c>
    </row>
    <row r="12" spans="1:14" ht="16" x14ac:dyDescent="0.2">
      <c r="A12" s="77" t="s">
        <v>348</v>
      </c>
      <c r="B12" s="20"/>
      <c r="C12" s="20"/>
      <c r="D12" s="20"/>
      <c r="E12" s="20"/>
      <c r="F12" s="20"/>
      <c r="G12" s="17">
        <f>G11/(1+$B$33)^G4</f>
        <v>10461.074965332567</v>
      </c>
      <c r="H12" s="17">
        <f t="shared" ref="H12:K12" si="2">H11/(1+$B$33)^H4</f>
        <v>6181.0541435600899</v>
      </c>
      <c r="I12" s="17">
        <f t="shared" si="2"/>
        <v>4966.2504141059226</v>
      </c>
      <c r="J12" s="17">
        <f t="shared" si="2"/>
        <v>4176.8639080467556</v>
      </c>
      <c r="K12" s="17">
        <f t="shared" si="2"/>
        <v>3334.1409178466274</v>
      </c>
      <c r="L12" s="17">
        <f>K12*(1+N4)/(B33-N4)</f>
        <v>35919.401291098315</v>
      </c>
    </row>
    <row r="13" spans="1:14" ht="16" x14ac:dyDescent="0.2">
      <c r="A13" s="78" t="s">
        <v>349</v>
      </c>
      <c r="B13" s="20"/>
      <c r="C13" s="20"/>
      <c r="D13" s="20"/>
      <c r="E13" s="20"/>
      <c r="F13" s="20"/>
      <c r="G13" s="17">
        <f>'Plan - WC'!C19-G25</f>
        <v>13547.783156802434</v>
      </c>
      <c r="H13" s="17">
        <f>'Plan - WC'!D19-H25</f>
        <v>13209.088577882374</v>
      </c>
      <c r="I13" s="17">
        <f>'Plan - WC'!E19-I25</f>
        <v>13869.543006776496</v>
      </c>
      <c r="J13" s="17">
        <f>'Plan - WC'!F19-J25</f>
        <v>14979.106447318616</v>
      </c>
      <c r="K13" s="17">
        <f>'Plan - WC'!G19-K25</f>
        <v>15877.852834157733</v>
      </c>
    </row>
    <row r="14" spans="1:14" ht="16" x14ac:dyDescent="0.2">
      <c r="A14" s="79" t="s">
        <v>347</v>
      </c>
      <c r="B14" s="20"/>
      <c r="C14" s="20"/>
      <c r="D14" s="20"/>
      <c r="E14" s="20"/>
      <c r="F14" s="20"/>
      <c r="G14" s="17">
        <f>G13/(1+0.038)^G4</f>
        <v>13051.814216572671</v>
      </c>
      <c r="H14" s="17">
        <f>H13/(1+0.034)^H4</f>
        <v>12354.687789136828</v>
      </c>
      <c r="I14" s="17">
        <f>I13/(1+0.031)^I4</f>
        <v>12655.699541676851</v>
      </c>
      <c r="J14" s="17">
        <f>J13/(1+0.03)^J4</f>
        <v>13308.74206779298</v>
      </c>
      <c r="K14" s="17">
        <f>K13/(1+0.03)^K4</f>
        <v>13696.375331903457</v>
      </c>
    </row>
    <row r="15" spans="1:14" x14ac:dyDescent="0.2">
      <c r="A15" s="20" t="s">
        <v>350</v>
      </c>
      <c r="B15" s="20"/>
      <c r="C15" s="20"/>
      <c r="D15" s="20"/>
      <c r="E15" s="20"/>
      <c r="F15" s="20"/>
      <c r="G15" s="98">
        <f>SUM(G12:L12)+SUM(G14:K14)</f>
        <v>130106.10458707307</v>
      </c>
      <c r="H15" s="99"/>
      <c r="I15" s="99"/>
      <c r="J15" s="99"/>
      <c r="K15" s="100"/>
    </row>
    <row r="16" spans="1:14" x14ac:dyDescent="0.2">
      <c r="A16" s="20" t="s">
        <v>351</v>
      </c>
      <c r="B16" s="20"/>
      <c r="C16" s="20"/>
      <c r="D16" s="20"/>
      <c r="E16" s="20"/>
      <c r="F16" s="20"/>
      <c r="G16" s="98">
        <f>G15-WACC!F30</f>
        <v>110738.10458707307</v>
      </c>
      <c r="H16" s="99"/>
      <c r="I16" s="99"/>
      <c r="J16" s="99"/>
      <c r="K16" s="100"/>
    </row>
    <row r="20" spans="1:11" x14ac:dyDescent="0.2">
      <c r="A20" s="82" t="s">
        <v>336</v>
      </c>
      <c r="B20" s="76"/>
      <c r="C20" s="76"/>
      <c r="D20" s="76"/>
      <c r="E20" s="76"/>
      <c r="F20" s="76"/>
      <c r="G20" s="76"/>
      <c r="H20" s="76"/>
      <c r="I20" s="76"/>
      <c r="J20" s="76"/>
      <c r="K20" s="76"/>
    </row>
    <row r="21" spans="1:11" x14ac:dyDescent="0.2">
      <c r="B21" s="35">
        <v>2020</v>
      </c>
      <c r="C21" s="35">
        <v>2021</v>
      </c>
      <c r="D21" s="35">
        <v>2022</v>
      </c>
      <c r="E21" s="35">
        <v>2023</v>
      </c>
      <c r="F21" s="35">
        <v>2024</v>
      </c>
      <c r="G21" s="35" t="s">
        <v>166</v>
      </c>
      <c r="H21" s="35" t="s">
        <v>167</v>
      </c>
      <c r="I21" s="35" t="s">
        <v>168</v>
      </c>
      <c r="J21" s="35" t="s">
        <v>169</v>
      </c>
      <c r="K21" s="35" t="s">
        <v>171</v>
      </c>
    </row>
    <row r="22" spans="1:11" x14ac:dyDescent="0.2">
      <c r="A22" s="20" t="s">
        <v>337</v>
      </c>
      <c r="B22" s="17">
        <f>'Historical BS'!B8/1000000</f>
        <v>4101</v>
      </c>
      <c r="C22" s="17">
        <f>'Historical BS'!C8/1000000</f>
        <v>5757</v>
      </c>
      <c r="D22" s="17">
        <f>'Historical BS'!D8/1000000</f>
        <v>12839</v>
      </c>
      <c r="E22" s="17">
        <f>'Historical BS'!E8/1000000</f>
        <v>13626</v>
      </c>
      <c r="F22" s="17">
        <f>'Historical BS'!F8/1000000</f>
        <v>12017</v>
      </c>
      <c r="G22" s="17">
        <f>'Plan - WC'!C7</f>
        <v>12986.228669797432</v>
      </c>
      <c r="H22" s="17">
        <f>'Plan - WC'!D7</f>
        <v>12661.572953052497</v>
      </c>
      <c r="I22" s="17">
        <f>'Plan - WC'!E7</f>
        <v>13294.651600705123</v>
      </c>
      <c r="J22" s="17">
        <f>'Plan - WC'!F7</f>
        <v>14358.223728761533</v>
      </c>
      <c r="K22" s="17">
        <f>'Plan - WC'!G7</f>
        <v>15219.717152487228</v>
      </c>
    </row>
    <row r="23" spans="1:11" x14ac:dyDescent="0.2">
      <c r="A23" s="20" t="s">
        <v>338</v>
      </c>
      <c r="B23" s="17">
        <f>'Historical BS'!B7/1000000</f>
        <v>1886</v>
      </c>
      <c r="C23" s="17">
        <f>'Historical BS'!C7/1000000</f>
        <v>1913</v>
      </c>
      <c r="D23" s="17">
        <f>'Historical BS'!D7/1000000</f>
        <v>2952</v>
      </c>
      <c r="E23" s="17">
        <f>'Historical BS'!E7/1000000</f>
        <v>3508</v>
      </c>
      <c r="F23" s="17">
        <f>'Historical BS'!F7/1000000</f>
        <v>4418</v>
      </c>
      <c r="G23" s="17">
        <f>'Plan - WC'!C5</f>
        <v>4202.1983319521778</v>
      </c>
      <c r="H23" s="17">
        <f>'Plan - WC'!D5</f>
        <v>4097.1433736533736</v>
      </c>
      <c r="I23" s="17">
        <f>'Plan - WC'!E5</f>
        <v>4302.0005423360426</v>
      </c>
      <c r="J23" s="17">
        <f>'Plan - WC'!F5</f>
        <v>4646.160585722927</v>
      </c>
      <c r="K23" s="17">
        <f>'Plan - WC'!G5</f>
        <v>4924.930220866303</v>
      </c>
    </row>
    <row r="24" spans="1:11" x14ac:dyDescent="0.2">
      <c r="A24" s="20" t="s">
        <v>339</v>
      </c>
      <c r="B24" s="17">
        <f>'Historical BS'!B24/1000000</f>
        <v>6051</v>
      </c>
      <c r="C24" s="17">
        <f>'Historical BS'!C24/1000000</f>
        <v>10025</v>
      </c>
      <c r="D24" s="17">
        <f>'Historical BS'!D24/1000000</f>
        <v>15255</v>
      </c>
      <c r="E24" s="17">
        <f>'Historical BS'!E24/1000000</f>
        <v>14431</v>
      </c>
      <c r="F24" s="17">
        <f>'Historical BS'!F24/1000000</f>
        <v>12474</v>
      </c>
      <c r="G24" s="17">
        <f>'Plan - WC'!C6</f>
        <v>16611.056378108347</v>
      </c>
      <c r="H24" s="17">
        <f>'Plan - WC'!D6</f>
        <v>16195.779968655641</v>
      </c>
      <c r="I24" s="17">
        <f>'Plan - WC'!E6</f>
        <v>17005.56896708842</v>
      </c>
      <c r="J24" s="17">
        <f>'Plan - WC'!F6</f>
        <v>18366.014484455496</v>
      </c>
      <c r="K24" s="17">
        <f>'Plan - WC'!G6</f>
        <v>19467.97535352283</v>
      </c>
    </row>
    <row r="25" spans="1:11" x14ac:dyDescent="0.2">
      <c r="A25" s="20" t="s">
        <v>340</v>
      </c>
      <c r="B25" s="17">
        <f>0.1652*B24</f>
        <v>999.62520000000006</v>
      </c>
      <c r="C25" s="17">
        <f t="shared" ref="C25:K25" si="3">0.1652*C24</f>
        <v>1656.13</v>
      </c>
      <c r="D25" s="17">
        <f t="shared" si="3"/>
        <v>2520.1260000000002</v>
      </c>
      <c r="E25" s="17">
        <f t="shared" si="3"/>
        <v>2384.0012000000002</v>
      </c>
      <c r="F25" s="17">
        <f t="shared" si="3"/>
        <v>2060.7048</v>
      </c>
      <c r="G25" s="17">
        <f t="shared" si="3"/>
        <v>2744.1465136634993</v>
      </c>
      <c r="H25" s="17">
        <f t="shared" si="3"/>
        <v>2675.542850821912</v>
      </c>
      <c r="I25" s="17">
        <f t="shared" si="3"/>
        <v>2809.3199933630071</v>
      </c>
      <c r="J25" s="17">
        <f t="shared" si="3"/>
        <v>3034.0655928320484</v>
      </c>
      <c r="K25" s="17">
        <f t="shared" si="3"/>
        <v>3216.1095284019716</v>
      </c>
    </row>
    <row r="26" spans="1:11" x14ac:dyDescent="0.2">
      <c r="A26" s="20" t="s">
        <v>336</v>
      </c>
      <c r="B26" s="17">
        <f>B22+B23-B24+B25</f>
        <v>935.62520000000006</v>
      </c>
      <c r="C26" s="17">
        <f t="shared" ref="C26:K26" si="4">C22+C23-C24+C25</f>
        <v>-698.86999999999989</v>
      </c>
      <c r="D26" s="17">
        <f t="shared" si="4"/>
        <v>3056.1260000000002</v>
      </c>
      <c r="E26" s="17">
        <f t="shared" si="4"/>
        <v>5087.0012000000006</v>
      </c>
      <c r="F26" s="17">
        <f t="shared" si="4"/>
        <v>6021.7047999999995</v>
      </c>
      <c r="G26" s="17">
        <f t="shared" si="4"/>
        <v>3321.517137304761</v>
      </c>
      <c r="H26" s="17">
        <f t="shared" si="4"/>
        <v>3238.4792088721424</v>
      </c>
      <c r="I26" s="17">
        <f t="shared" si="4"/>
        <v>3400.4031693157535</v>
      </c>
      <c r="J26" s="17">
        <f t="shared" si="4"/>
        <v>3672.4354228610136</v>
      </c>
      <c r="K26" s="17">
        <f t="shared" si="4"/>
        <v>3892.7815482326728</v>
      </c>
    </row>
    <row r="27" spans="1:11" x14ac:dyDescent="0.2">
      <c r="A27" s="20" t="s">
        <v>334</v>
      </c>
      <c r="B27" s="20"/>
      <c r="C27" s="17">
        <f>C26-B26</f>
        <v>-1634.4951999999998</v>
      </c>
      <c r="D27" s="17">
        <f>D26-C26</f>
        <v>3754.9960000000001</v>
      </c>
      <c r="E27" s="17">
        <f t="shared" ref="E27:K27" si="5">E26-D26</f>
        <v>2030.8752000000004</v>
      </c>
      <c r="F27" s="17">
        <f t="shared" si="5"/>
        <v>934.70359999999891</v>
      </c>
      <c r="G27" s="17">
        <f t="shared" si="5"/>
        <v>-2700.1876626952385</v>
      </c>
      <c r="H27" s="17">
        <f t="shared" si="5"/>
        <v>-83.037928432618628</v>
      </c>
      <c r="I27" s="17">
        <f t="shared" si="5"/>
        <v>161.92396044361112</v>
      </c>
      <c r="J27" s="17">
        <f t="shared" si="5"/>
        <v>272.03225354526012</v>
      </c>
      <c r="K27" s="17">
        <f t="shared" si="5"/>
        <v>220.34612537165913</v>
      </c>
    </row>
    <row r="30" spans="1:11" x14ac:dyDescent="0.2">
      <c r="A30" s="82" t="s">
        <v>344</v>
      </c>
      <c r="B30" s="76"/>
      <c r="C30" s="76"/>
      <c r="D30" s="76"/>
      <c r="E30" s="76"/>
      <c r="F30" s="76"/>
    </row>
    <row r="31" spans="1:11" x14ac:dyDescent="0.2">
      <c r="A31" s="20"/>
      <c r="B31" s="35">
        <v>2020</v>
      </c>
      <c r="C31" s="35">
        <v>2021</v>
      </c>
      <c r="D31" s="35">
        <v>2022</v>
      </c>
      <c r="E31" s="35">
        <v>2023</v>
      </c>
      <c r="F31" s="35">
        <v>2024</v>
      </c>
      <c r="G31" s="72"/>
      <c r="H31" s="72"/>
      <c r="I31" s="72"/>
      <c r="J31" s="72"/>
      <c r="K31" s="72"/>
    </row>
    <row r="32" spans="1:11" x14ac:dyDescent="0.2">
      <c r="A32" s="20" t="s">
        <v>91</v>
      </c>
      <c r="B32" s="17">
        <f>'Historical IS'!B42/1000000</f>
        <v>1669.9328239681683</v>
      </c>
      <c r="C32" s="17">
        <f>'Historical IS'!C42/1000000</f>
        <v>5462.8745289590579</v>
      </c>
      <c r="D32" s="17">
        <f>'Historical IS'!D42/1000000</f>
        <v>11436.611155521216</v>
      </c>
      <c r="E32" s="17">
        <f>'Historical IS'!E42/1000000</f>
        <v>7446.0244422773239</v>
      </c>
      <c r="F32" s="17">
        <f>'Historical IS'!F42/1000000</f>
        <v>5926.0003321959666</v>
      </c>
      <c r="G32" s="2"/>
      <c r="H32" s="2"/>
      <c r="I32" s="2"/>
      <c r="J32" s="2"/>
      <c r="K32" s="2"/>
    </row>
    <row r="33" spans="1:11" x14ac:dyDescent="0.2">
      <c r="A33" s="20" t="s">
        <v>307</v>
      </c>
      <c r="B33" s="25">
        <f>WACC!B48</f>
        <v>0.13435011020026322</v>
      </c>
      <c r="C33" s="25">
        <f>WACC!C48</f>
        <v>0.14019209747537764</v>
      </c>
      <c r="D33" s="25">
        <f>WACC!D48</f>
        <v>0.1669499091185174</v>
      </c>
      <c r="E33" s="25">
        <f>WACC!E48</f>
        <v>0.154028796266483</v>
      </c>
      <c r="F33" s="25">
        <f>WACC!F48</f>
        <v>0.14701167528695555</v>
      </c>
      <c r="G33" s="6"/>
      <c r="H33" s="6"/>
      <c r="I33" s="6"/>
      <c r="J33" s="6"/>
      <c r="K33" s="6"/>
    </row>
    <row r="34" spans="1:11" x14ac:dyDescent="0.2">
      <c r="A34" s="20" t="s">
        <v>346</v>
      </c>
      <c r="B34" s="17">
        <f>'Historical BS'!B52/1000000</f>
        <v>39966</v>
      </c>
      <c r="C34" s="17">
        <f>'Historical BS'!C52/1000000</f>
        <v>43987</v>
      </c>
      <c r="D34" s="17">
        <f>'Historical BS'!D52/1000000</f>
        <v>55349</v>
      </c>
      <c r="E34" s="17">
        <f>'Historical BS'!E52/1000000</f>
        <v>78098</v>
      </c>
      <c r="F34" s="17">
        <f>'Historical BS'!F52/1000000</f>
        <v>93048</v>
      </c>
    </row>
    <row r="35" spans="1:11" x14ac:dyDescent="0.2">
      <c r="A35" s="20" t="s">
        <v>344</v>
      </c>
      <c r="B35" s="17">
        <f>B32-B33*B34</f>
        <v>-3699.5036802955519</v>
      </c>
      <c r="C35" s="17">
        <f t="shared" ref="C35:F35" si="6">C32-C33*C34</f>
        <v>-703.755262690378</v>
      </c>
      <c r="D35" s="17">
        <f t="shared" si="6"/>
        <v>2196.1006357203969</v>
      </c>
      <c r="E35" s="17">
        <f t="shared" si="6"/>
        <v>-4583.3164885424658</v>
      </c>
      <c r="F35" s="17">
        <f t="shared" si="6"/>
        <v>-7753.1420299046731</v>
      </c>
    </row>
    <row r="39" spans="1:11" x14ac:dyDescent="0.2">
      <c r="A39" s="8" t="s">
        <v>343</v>
      </c>
      <c r="B39" s="9" t="s">
        <v>359</v>
      </c>
      <c r="C39" s="9" t="s">
        <v>360</v>
      </c>
      <c r="D39" s="9" t="s">
        <v>361</v>
      </c>
      <c r="E39" s="9" t="s">
        <v>362</v>
      </c>
      <c r="F39" s="9" t="s">
        <v>363</v>
      </c>
    </row>
  </sheetData>
  <mergeCells count="2">
    <mergeCell ref="G15:K15"/>
    <mergeCell ref="G16:K16"/>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E60E9-BEB3-F748-A393-53C0AC01CC26}">
  <dimension ref="A1:AD51"/>
  <sheetViews>
    <sheetView topLeftCell="H2" zoomScale="66" zoomScaleNormal="75" workbookViewId="0">
      <selection activeCell="W42" sqref="W42:AD50"/>
    </sheetView>
  </sheetViews>
  <sheetFormatPr baseColWidth="10" defaultRowHeight="15" x14ac:dyDescent="0.2"/>
  <cols>
    <col min="1" max="1" width="41.33203125" customWidth="1"/>
    <col min="2" max="2" width="14.1640625" bestFit="1" customWidth="1"/>
    <col min="7" max="7" width="16.5" customWidth="1"/>
    <col min="8" max="8" width="35.1640625" customWidth="1"/>
  </cols>
  <sheetData>
    <row r="1" spans="1:30" x14ac:dyDescent="0.2">
      <c r="A1" s="36"/>
      <c r="B1" s="67">
        <v>2020</v>
      </c>
      <c r="C1" s="67">
        <v>2021</v>
      </c>
      <c r="D1" s="67">
        <v>2022</v>
      </c>
      <c r="E1" s="67">
        <v>2023</v>
      </c>
      <c r="F1" s="67">
        <v>2024</v>
      </c>
      <c r="G1" s="37" t="s">
        <v>179</v>
      </c>
      <c r="H1" s="57"/>
      <c r="I1" s="43">
        <v>2020</v>
      </c>
      <c r="J1" s="43">
        <v>2021</v>
      </c>
      <c r="K1" s="43">
        <v>2022</v>
      </c>
      <c r="L1" s="43">
        <v>2023</v>
      </c>
      <c r="M1" s="43">
        <v>2024</v>
      </c>
    </row>
    <row r="2" spans="1:30" ht="16" x14ac:dyDescent="0.2">
      <c r="A2" s="34" t="s">
        <v>0</v>
      </c>
      <c r="B2" s="20"/>
      <c r="C2" s="20"/>
      <c r="D2" s="20"/>
      <c r="E2" s="20"/>
      <c r="F2" s="20"/>
      <c r="G2" s="20"/>
      <c r="H2" s="58" t="s">
        <v>18</v>
      </c>
      <c r="I2" s="25">
        <f>B20</f>
        <v>1</v>
      </c>
      <c r="J2" s="25">
        <f t="shared" ref="J2:M2" si="0">C20</f>
        <v>1</v>
      </c>
      <c r="K2" s="25">
        <f t="shared" si="0"/>
        <v>1</v>
      </c>
      <c r="L2" s="25">
        <f t="shared" si="0"/>
        <v>1</v>
      </c>
      <c r="M2" s="25">
        <f t="shared" si="0"/>
        <v>1</v>
      </c>
      <c r="W2" s="101" t="s">
        <v>365</v>
      </c>
      <c r="X2" s="101"/>
      <c r="Y2" s="101"/>
      <c r="Z2" s="101"/>
      <c r="AA2" s="101"/>
      <c r="AB2" s="101"/>
      <c r="AC2" s="101"/>
      <c r="AD2" s="101"/>
    </row>
    <row r="3" spans="1:30" x14ac:dyDescent="0.2">
      <c r="A3" s="44" t="s">
        <v>1</v>
      </c>
      <c r="B3" s="20"/>
      <c r="C3" s="20"/>
      <c r="D3" s="20"/>
      <c r="E3" s="20"/>
      <c r="F3" s="20"/>
      <c r="G3" s="20"/>
      <c r="H3" s="58" t="s">
        <v>178</v>
      </c>
      <c r="I3" s="25">
        <f>B45</f>
        <v>0.45407302293472424</v>
      </c>
      <c r="J3" s="25">
        <f t="shared" ref="J3:M3" si="1">C45</f>
        <v>0.50832917545186784</v>
      </c>
      <c r="K3" s="25">
        <f t="shared" si="1"/>
        <v>0.55743399159561802</v>
      </c>
      <c r="L3" s="25">
        <f t="shared" si="1"/>
        <v>0.59660657675064244</v>
      </c>
      <c r="M3" s="25">
        <f t="shared" si="1"/>
        <v>0.60358810518554928</v>
      </c>
      <c r="W3" s="101"/>
      <c r="X3" s="101"/>
      <c r="Y3" s="101"/>
      <c r="Z3" s="101"/>
      <c r="AA3" s="101"/>
      <c r="AB3" s="101"/>
      <c r="AC3" s="101"/>
      <c r="AD3" s="101"/>
    </row>
    <row r="4" spans="1:30" x14ac:dyDescent="0.2">
      <c r="A4" s="17" t="s">
        <v>2</v>
      </c>
      <c r="B4" s="25">
        <f>'Historical BS'!B4 / 'Historical BS'!$B$20</f>
        <v>0.37171128327069108</v>
      </c>
      <c r="C4" s="25">
        <f>'Historical BS'!C4 / 'Historical BS'!$C$20</f>
        <v>0.28288615988797861</v>
      </c>
      <c r="D4" s="25">
        <f>'Historical BS'!D4 / 'Historical BS'!$D$20</f>
        <v>0.19739366999441327</v>
      </c>
      <c r="E4" s="25">
        <f>'Historical BS'!E4 / 'Historical BS'!$E$20</f>
        <v>0.1538014218987413</v>
      </c>
      <c r="F4" s="25">
        <f>'Historical BS'!F4 / 'Historical BS'!$F$20</f>
        <v>0.13221102646022773</v>
      </c>
      <c r="G4" s="25">
        <f>(B4+C4+D4+E4+F4)/5</f>
        <v>0.22760071230241036</v>
      </c>
      <c r="H4" s="58" t="s">
        <v>34</v>
      </c>
      <c r="I4" s="25">
        <f>B37</f>
        <v>0.54592697706527571</v>
      </c>
      <c r="J4" s="25">
        <f t="shared" ref="J4:M4" si="2">C37</f>
        <v>0.49167082454813216</v>
      </c>
      <c r="K4" s="25">
        <f t="shared" si="2"/>
        <v>0.44256600840438193</v>
      </c>
      <c r="L4" s="25">
        <f t="shared" si="2"/>
        <v>0.40339342324935751</v>
      </c>
      <c r="M4" s="25">
        <f t="shared" si="2"/>
        <v>0.39641189481445072</v>
      </c>
      <c r="W4" s="101"/>
      <c r="X4" s="101"/>
      <c r="Y4" s="101"/>
      <c r="Z4" s="101"/>
      <c r="AA4" s="101"/>
      <c r="AB4" s="101"/>
      <c r="AC4" s="101"/>
      <c r="AD4" s="101"/>
    </row>
    <row r="5" spans="1:30" x14ac:dyDescent="0.2">
      <c r="A5" s="17" t="s">
        <v>3</v>
      </c>
      <c r="B5" s="25">
        <f>'Historical BS'!B5 / 'Historical BS'!$B$20</f>
        <v>0</v>
      </c>
      <c r="C5" s="25">
        <f>'Historical BS'!C5 / 'Historical BS'!$C$20</f>
        <v>2.1084482786370732E-3</v>
      </c>
      <c r="D5" s="25">
        <f>'Historical BS'!D5 / 'Historical BS'!$D$20</f>
        <v>7.2044499502052509E-2</v>
      </c>
      <c r="E5" s="25">
        <f>'Historical BS'!E5 / 'Historical BS'!$E$20</f>
        <v>0.11907932994428708</v>
      </c>
      <c r="F5" s="25">
        <f>'Historical BS'!F5 / 'Historical BS'!$F$20</f>
        <v>0.16731383632342098</v>
      </c>
      <c r="G5" s="25">
        <f t="shared" ref="G5:G51" si="3">(B5+C5+D5+E5+F5)/5</f>
        <v>7.2109222809679532E-2</v>
      </c>
      <c r="W5" s="101"/>
      <c r="X5" s="101"/>
      <c r="Y5" s="101"/>
      <c r="Z5" s="101"/>
      <c r="AA5" s="101"/>
      <c r="AB5" s="101"/>
      <c r="AC5" s="101"/>
      <c r="AD5" s="101"/>
    </row>
    <row r="6" spans="1:30" x14ac:dyDescent="0.2">
      <c r="A6" s="17" t="s">
        <v>4</v>
      </c>
      <c r="B6" s="25">
        <f>'Historical BS'!B6 / 'Historical BS'!$B$20</f>
        <v>0.37171128327069108</v>
      </c>
      <c r="C6" s="25">
        <f>'Historical BS'!C6 / 'Historical BS'!$C$20</f>
        <v>0.2849946081666157</v>
      </c>
      <c r="D6" s="25">
        <f>'Historical BS'!D6 / 'Historical BS'!$D$20</f>
        <v>0.26943816949646576</v>
      </c>
      <c r="E6" s="25">
        <f>'Historical BS'!E6 / 'Historical BS'!$E$20</f>
        <v>0.2728807518430284</v>
      </c>
      <c r="F6" s="25">
        <f>'Historical BS'!F6 / 'Historical BS'!$F$20</f>
        <v>0.2995248627836487</v>
      </c>
      <c r="G6" s="25">
        <f t="shared" si="3"/>
        <v>0.29970993511208993</v>
      </c>
      <c r="W6" s="101"/>
      <c r="X6" s="101"/>
      <c r="Y6" s="101"/>
      <c r="Z6" s="101"/>
      <c r="AA6" s="101"/>
      <c r="AB6" s="101"/>
      <c r="AC6" s="101"/>
      <c r="AD6" s="101"/>
    </row>
    <row r="7" spans="1:30" x14ac:dyDescent="0.2">
      <c r="A7" s="17" t="s">
        <v>5</v>
      </c>
      <c r="B7" s="25">
        <f>'Historical BS'!B7 / 'Historical BS'!$B$20</f>
        <v>3.6166295926977066E-2</v>
      </c>
      <c r="C7" s="25">
        <f>'Historical BS'!C7 / 'Historical BS'!$C$20</f>
        <v>3.0789782878112376E-2</v>
      </c>
      <c r="D7" s="25">
        <f>'Historical BS'!D7 / 'Historical BS'!$D$20</f>
        <v>3.5852218902572321E-2</v>
      </c>
      <c r="E7" s="25">
        <f>'Historical BS'!E7 / 'Historical BS'!$E$20</f>
        <v>3.290251177099552E-2</v>
      </c>
      <c r="F7" s="25">
        <f>'Historical BS'!F7 / 'Historical BS'!$F$20</f>
        <v>3.6192348652412547E-2</v>
      </c>
      <c r="G7" s="25">
        <f t="shared" si="3"/>
        <v>3.4380631626213964E-2</v>
      </c>
      <c r="H7" s="57"/>
      <c r="I7" s="19">
        <v>2020</v>
      </c>
      <c r="J7" s="19">
        <v>2021</v>
      </c>
      <c r="K7" s="19">
        <v>2022</v>
      </c>
      <c r="L7" s="19">
        <v>2023</v>
      </c>
      <c r="M7" s="19">
        <v>2024</v>
      </c>
    </row>
    <row r="8" spans="1:30" x14ac:dyDescent="0.2">
      <c r="A8" s="17" t="s">
        <v>6</v>
      </c>
      <c r="B8" s="25">
        <f>'Historical BS'!B8 / 'Historical BS'!$B$20</f>
        <v>7.8641558640791587E-2</v>
      </c>
      <c r="C8" s="25">
        <f>'Historical BS'!C8 / 'Historical BS'!$C$20</f>
        <v>9.2659059084836876E-2</v>
      </c>
      <c r="D8" s="25">
        <f>'Historical BS'!D8 / 'Historical BS'!$D$20</f>
        <v>0.15593043309286114</v>
      </c>
      <c r="E8" s="25">
        <f>'Historical BS'!E8 / 'Historical BS'!$E$20</f>
        <v>0.12780205968973343</v>
      </c>
      <c r="F8" s="25">
        <f>'Historical BS'!F8 / 'Historical BS'!$F$20</f>
        <v>9.8443516015400995E-2</v>
      </c>
      <c r="G8" s="25">
        <f t="shared" si="3"/>
        <v>0.11069532530472481</v>
      </c>
      <c r="H8" s="59" t="str">
        <f>A6</f>
        <v>Cash, Cash Equivalents and Investments</v>
      </c>
      <c r="I8" s="25">
        <f>B6</f>
        <v>0.37171128327069108</v>
      </c>
      <c r="J8" s="25">
        <f t="shared" ref="J8:M8" si="4">C6</f>
        <v>0.2849946081666157</v>
      </c>
      <c r="K8" s="25">
        <f t="shared" si="4"/>
        <v>0.26943816949646576</v>
      </c>
      <c r="L8" s="25">
        <f t="shared" si="4"/>
        <v>0.2728807518430284</v>
      </c>
      <c r="M8" s="25">
        <f t="shared" si="4"/>
        <v>0.2995248627836487</v>
      </c>
    </row>
    <row r="9" spans="1:30" x14ac:dyDescent="0.2">
      <c r="A9" s="17" t="s">
        <v>7</v>
      </c>
      <c r="B9" s="25">
        <f>'Historical BS'!B9 / 'Historical BS'!$B$20</f>
        <v>2.5811152872593387E-2</v>
      </c>
      <c r="C9" s="25">
        <f>'Historical BS'!C9 / 'Historical BS'!$C$20</f>
        <v>2.7731728122837231E-2</v>
      </c>
      <c r="D9" s="25">
        <f>'Historical BS'!D9 / 'Historical BS'!$D$20</f>
        <v>3.5718623235929947E-2</v>
      </c>
      <c r="E9" s="25">
        <f>'Historical BS'!E9 / 'Historical BS'!$E$20</f>
        <v>3.1776998255454048E-2</v>
      </c>
      <c r="F9" s="25">
        <f>'Historical BS'!F9 / 'Historical BS'!$F$20</f>
        <v>4.3925616449578112E-2</v>
      </c>
      <c r="G9" s="25">
        <f t="shared" si="3"/>
        <v>3.2992823787278545E-2</v>
      </c>
      <c r="W9" s="101" t="s">
        <v>366</v>
      </c>
      <c r="X9" s="101"/>
      <c r="Y9" s="101"/>
      <c r="Z9" s="101"/>
      <c r="AA9" s="101"/>
      <c r="AB9" s="101"/>
      <c r="AC9" s="101"/>
      <c r="AD9" s="101"/>
    </row>
    <row r="10" spans="1:30" x14ac:dyDescent="0.2">
      <c r="A10" s="45" t="s">
        <v>8</v>
      </c>
      <c r="B10" s="25">
        <f>'Historical BS'!B10 / 'Historical BS'!$B$20</f>
        <v>0.51233029071105318</v>
      </c>
      <c r="C10" s="25">
        <f>'Historical BS'!C10 / 'Historical BS'!$C$20</f>
        <v>0.43617517825240221</v>
      </c>
      <c r="D10" s="25">
        <f>'Historical BS'!D10 / 'Historical BS'!$D$20</f>
        <v>0.49693944472782919</v>
      </c>
      <c r="E10" s="25">
        <f>'Historical BS'!E10 / 'Historical BS'!$E$20</f>
        <v>0.46536232155921137</v>
      </c>
      <c r="F10" s="25">
        <f>'Historical BS'!F10 / 'Historical BS'!$F$20</f>
        <v>0.47808634390104038</v>
      </c>
      <c r="G10" s="25">
        <f t="shared" si="3"/>
        <v>0.47777871583030729</v>
      </c>
      <c r="W10" s="101"/>
      <c r="X10" s="101"/>
      <c r="Y10" s="101"/>
      <c r="Z10" s="101"/>
      <c r="AA10" s="101"/>
      <c r="AB10" s="101"/>
      <c r="AC10" s="101"/>
      <c r="AD10" s="101"/>
    </row>
    <row r="11" spans="1:30" x14ac:dyDescent="0.2">
      <c r="A11" s="44" t="s">
        <v>9</v>
      </c>
      <c r="B11" s="25"/>
      <c r="C11" s="25"/>
      <c r="D11" s="25"/>
      <c r="E11" s="25"/>
      <c r="F11" s="25"/>
      <c r="G11" s="25"/>
      <c r="H11" s="57"/>
      <c r="I11" s="43">
        <v>2020</v>
      </c>
      <c r="J11" s="43">
        <v>2021</v>
      </c>
      <c r="K11" s="43">
        <v>2022</v>
      </c>
      <c r="L11" s="43">
        <v>2023</v>
      </c>
      <c r="M11" s="43">
        <v>2024</v>
      </c>
      <c r="W11" s="101"/>
      <c r="X11" s="101"/>
      <c r="Y11" s="101"/>
      <c r="Z11" s="101"/>
      <c r="AA11" s="101"/>
      <c r="AB11" s="101"/>
      <c r="AC11" s="101"/>
      <c r="AD11" s="101"/>
    </row>
    <row r="12" spans="1:30" x14ac:dyDescent="0.2">
      <c r="A12" s="17" t="s">
        <v>10</v>
      </c>
      <c r="B12" s="25">
        <f>'Historical BS'!B12 / 'Historical BS'!$B$20</f>
        <v>0.44830098949144742</v>
      </c>
      <c r="C12" s="25">
        <f>'Historical BS'!C12 / 'Historical BS'!$C$20</f>
        <v>0.50177850026556792</v>
      </c>
      <c r="D12" s="25">
        <f>'Historical BS'!D12 / 'Historical BS'!$D$20</f>
        <v>0.44493429522213318</v>
      </c>
      <c r="E12" s="25">
        <f>'Historical BS'!E12 / 'Historical BS'!$E$20</f>
        <v>0.42322121968147969</v>
      </c>
      <c r="F12" s="25">
        <f>'Historical BS'!F12 / 'Historical BS'!$F$20</f>
        <v>0.42194642418284589</v>
      </c>
      <c r="G12" s="25">
        <f t="shared" si="3"/>
        <v>0.44803628576869486</v>
      </c>
      <c r="H12" s="59" t="str">
        <f>A8</f>
        <v>Inventory</v>
      </c>
      <c r="I12" s="25">
        <f>B8</f>
        <v>7.8641558640791587E-2</v>
      </c>
      <c r="J12" s="25">
        <f t="shared" ref="J12:M12" si="5">C8</f>
        <v>9.2659059084836876E-2</v>
      </c>
      <c r="K12" s="25">
        <f t="shared" si="5"/>
        <v>0.15593043309286114</v>
      </c>
      <c r="L12" s="25">
        <f t="shared" si="5"/>
        <v>0.12780205968973343</v>
      </c>
      <c r="M12" s="25">
        <f t="shared" si="5"/>
        <v>9.8443516015400995E-2</v>
      </c>
      <c r="W12" s="101"/>
      <c r="X12" s="101"/>
      <c r="Y12" s="101"/>
      <c r="Z12" s="101"/>
      <c r="AA12" s="101"/>
      <c r="AB12" s="101"/>
      <c r="AC12" s="101"/>
      <c r="AD12" s="101"/>
    </row>
    <row r="13" spans="1:30" x14ac:dyDescent="0.2">
      <c r="A13" s="17" t="s">
        <v>11</v>
      </c>
      <c r="B13" s="25">
        <f>'Historical BS'!B13 / 'Historical BS'!$B$20</f>
        <v>3.9694715041804097E-3</v>
      </c>
      <c r="C13" s="25">
        <f>'Historical BS'!C13 / 'Historical BS'!$C$20</f>
        <v>3.2190050055527835E-3</v>
      </c>
      <c r="D13" s="25">
        <f>'Historical BS'!D13 / 'Historical BS'!$D$20</f>
        <v>2.3561417571473682E-3</v>
      </c>
      <c r="E13" s="25">
        <f>'Historical BS'!E13 / 'Historical BS'!$E$20</f>
        <v>2.3729576619332571E-3</v>
      </c>
      <c r="F13" s="25">
        <f>'Historical BS'!F13 / 'Historical BS'!$F$20</f>
        <v>1.9988531170639797E-3</v>
      </c>
      <c r="G13" s="25">
        <f t="shared" si="3"/>
        <v>2.7832858091755594E-3</v>
      </c>
      <c r="H13" s="59" t="str">
        <f>A12</f>
        <v>Property, Plant and Equipment, Net</v>
      </c>
      <c r="I13" s="25">
        <f>B12</f>
        <v>0.44830098949144742</v>
      </c>
      <c r="J13" s="25">
        <f t="shared" ref="J13:M13" si="6">C12</f>
        <v>0.50177850026556792</v>
      </c>
      <c r="K13" s="25">
        <f t="shared" si="6"/>
        <v>0.44493429522213318</v>
      </c>
      <c r="L13" s="25">
        <f t="shared" si="6"/>
        <v>0.42322121968147969</v>
      </c>
      <c r="M13" s="25">
        <f t="shared" si="6"/>
        <v>0.42194642418284589</v>
      </c>
      <c r="W13" s="101"/>
      <c r="X13" s="101"/>
      <c r="Y13" s="101"/>
      <c r="Z13" s="101"/>
      <c r="AA13" s="101"/>
      <c r="AB13" s="101"/>
      <c r="AC13" s="101"/>
      <c r="AD13" s="101"/>
    </row>
    <row r="14" spans="1:30" x14ac:dyDescent="0.2">
      <c r="A14" s="17" t="s">
        <v>12</v>
      </c>
      <c r="B14" s="25">
        <f>'Historical BS'!B14 / 'Historical BS'!$B$20</f>
        <v>6.0021477333742426E-3</v>
      </c>
      <c r="C14" s="25">
        <f>'Historical BS'!C14 / 'Historical BS'!$C$20</f>
        <v>2.4416152967117865E-2</v>
      </c>
      <c r="D14" s="25">
        <f>'Historical BS'!D14 / 'Historical BS'!$D$20</f>
        <v>4.8458791809371125E-3</v>
      </c>
      <c r="E14" s="25">
        <f>'Historical BS'!E14 / 'Historical BS'!$E$20</f>
        <v>3.3952991052167551E-3</v>
      </c>
      <c r="F14" s="25">
        <f>'Historical BS'!F14 / 'Historical BS'!$F$20</f>
        <v>1.004341771114934E-2</v>
      </c>
      <c r="G14" s="25">
        <f t="shared" si="3"/>
        <v>9.7405793395590641E-3</v>
      </c>
      <c r="W14" s="101"/>
      <c r="X14" s="101"/>
      <c r="Y14" s="101"/>
      <c r="Z14" s="101"/>
      <c r="AA14" s="101"/>
      <c r="AB14" s="101"/>
      <c r="AC14" s="101"/>
      <c r="AD14" s="101"/>
    </row>
    <row r="15" spans="1:30" x14ac:dyDescent="0.2">
      <c r="A15" s="17" t="s">
        <v>13</v>
      </c>
      <c r="B15" s="25">
        <f>'Historical BS'!B15 / 'Historical BS'!$B$20</f>
        <v>9.9716192375546523E-3</v>
      </c>
      <c r="C15" s="25">
        <f>'Historical BS'!C15 / 'Historical BS'!$C$20</f>
        <v>2.7635157972670646E-2</v>
      </c>
      <c r="D15" s="25">
        <f>'Historical BS'!D15 / 'Historical BS'!$D$20</f>
        <v>7.2020209380844807E-3</v>
      </c>
      <c r="E15" s="25">
        <f>'Historical BS'!E15 / 'Historical BS'!$E$20</f>
        <v>5.7682567671500122E-3</v>
      </c>
      <c r="F15" s="25">
        <f>'Historical BS'!F15 / 'Historical BS'!$F$20</f>
        <v>1.204227082821332E-2</v>
      </c>
      <c r="G15" s="25">
        <f t="shared" si="3"/>
        <v>1.2523865148734622E-2</v>
      </c>
      <c r="W15" s="101"/>
      <c r="X15" s="101"/>
      <c r="Y15" s="101"/>
      <c r="Z15" s="101"/>
      <c r="AA15" s="101"/>
      <c r="AB15" s="101"/>
      <c r="AC15" s="101"/>
      <c r="AD15" s="101"/>
    </row>
    <row r="16" spans="1:30" x14ac:dyDescent="0.2">
      <c r="A16" s="17" t="s">
        <v>14</v>
      </c>
      <c r="B16" s="25">
        <f>'Historical BS'!B16 / 'Historical BS'!$B$20</f>
        <v>0</v>
      </c>
      <c r="C16" s="25">
        <f>'Historical BS'!C16 / 'Historical BS'!$C$20</f>
        <v>0</v>
      </c>
      <c r="D16" s="25">
        <f>'Historical BS'!D16 / 'Historical BS'!$D$20</f>
        <v>0</v>
      </c>
      <c r="E16" s="25">
        <f>'Historical BS'!E16 / 'Historical BS'!$E$20</f>
        <v>0</v>
      </c>
      <c r="F16" s="25">
        <f>'Historical BS'!F16 / 'Historical BS'!$F$20</f>
        <v>0</v>
      </c>
      <c r="G16" s="25">
        <f t="shared" si="3"/>
        <v>0</v>
      </c>
      <c r="W16" s="101"/>
      <c r="X16" s="101"/>
      <c r="Y16" s="101"/>
      <c r="Z16" s="101"/>
      <c r="AA16" s="101"/>
      <c r="AB16" s="101"/>
      <c r="AC16" s="101"/>
      <c r="AD16" s="101"/>
    </row>
    <row r="17" spans="1:30" x14ac:dyDescent="0.2">
      <c r="A17" s="17" t="s">
        <v>15</v>
      </c>
      <c r="B17" s="25">
        <f>'Historical BS'!B17 / 'Historical BS'!$B$20</f>
        <v>0</v>
      </c>
      <c r="C17" s="25">
        <f>'Historical BS'!C17 / 'Historical BS'!$C$20</f>
        <v>0</v>
      </c>
      <c r="D17" s="25">
        <f>'Historical BS'!D17 / 'Historical BS'!$D$20</f>
        <v>3.9835798780635916E-3</v>
      </c>
      <c r="E17" s="25">
        <f>'Historical BS'!E17 / 'Historical BS'!$E$20</f>
        <v>6.3150687501172406E-2</v>
      </c>
      <c r="F17" s="25">
        <f>'Historical BS'!F17 / 'Historical BS'!$F$20</f>
        <v>5.3444744818546733E-2</v>
      </c>
      <c r="G17" s="25">
        <f t="shared" si="3"/>
        <v>2.4115802439556546E-2</v>
      </c>
    </row>
    <row r="18" spans="1:30" x14ac:dyDescent="0.2">
      <c r="A18" s="17" t="s">
        <v>16</v>
      </c>
      <c r="B18" s="25">
        <f>'Historical BS'!B18 / 'Historical BS'!$B$20</f>
        <v>2.9454629132469125E-2</v>
      </c>
      <c r="C18" s="25">
        <f>'Historical BS'!C18 / 'Historical BS'!$C$20</f>
        <v>3.4346783409248204E-2</v>
      </c>
      <c r="D18" s="25">
        <f>'Historical BS'!D18 / 'Historical BS'!$D$20</f>
        <v>4.6940659233889577E-2</v>
      </c>
      <c r="E18" s="25">
        <f>'Historical BS'!E18 / 'Historical BS'!$E$20</f>
        <v>4.2497514490986515E-2</v>
      </c>
      <c r="F18" s="25">
        <f>'Historical BS'!F18 / 'Historical BS'!$F$20</f>
        <v>3.4529368395183092E-2</v>
      </c>
      <c r="G18" s="25">
        <f t="shared" si="3"/>
        <v>3.7553790932355301E-2</v>
      </c>
    </row>
    <row r="19" spans="1:30" x14ac:dyDescent="0.2">
      <c r="A19" s="45" t="s">
        <v>17</v>
      </c>
      <c r="B19" s="25">
        <f>'Historical BS'!B19 / 'Historical BS'!$B$20</f>
        <v>0.48772723786147121</v>
      </c>
      <c r="C19" s="25">
        <f>'Historical BS'!C19 / 'Historical BS'!$C$20</f>
        <v>0.56376044164748673</v>
      </c>
      <c r="D19" s="25">
        <f>'Historical BS'!D19 / 'Historical BS'!$D$20</f>
        <v>0.50306055527217086</v>
      </c>
      <c r="E19" s="25">
        <f>'Historical BS'!E19 / 'Historical BS'!$E$20</f>
        <v>0.53463767844078858</v>
      </c>
      <c r="F19" s="25">
        <f>'Historical BS'!F19 / 'Historical BS'!$F$20</f>
        <v>0.52196280822478902</v>
      </c>
      <c r="G19" s="25">
        <f t="shared" si="3"/>
        <v>0.52222974428934132</v>
      </c>
    </row>
    <row r="20" spans="1:30" x14ac:dyDescent="0.2">
      <c r="A20" s="45" t="s">
        <v>18</v>
      </c>
      <c r="B20" s="25">
        <f>'Historical BS'!B20 / 'Historical BS'!$B$20</f>
        <v>1</v>
      </c>
      <c r="C20" s="25">
        <f>'Historical BS'!C20 / 'Historical BS'!$C$20</f>
        <v>1</v>
      </c>
      <c r="D20" s="25">
        <f>'Historical BS'!D20 / 'Historical BS'!$D$20</f>
        <v>1</v>
      </c>
      <c r="E20" s="25">
        <f>'Historical BS'!E20 / 'Historical BS'!$E$20</f>
        <v>1</v>
      </c>
      <c r="F20" s="25">
        <f>'Historical BS'!F20 / 'Historical BS'!$F$20</f>
        <v>1</v>
      </c>
      <c r="G20" s="25">
        <f t="shared" si="3"/>
        <v>1</v>
      </c>
    </row>
    <row r="21" spans="1:30" x14ac:dyDescent="0.2">
      <c r="A21" s="1"/>
      <c r="B21" s="25"/>
      <c r="C21" s="25"/>
      <c r="D21" s="25"/>
      <c r="E21" s="25"/>
      <c r="F21" s="25"/>
      <c r="G21" s="25"/>
    </row>
    <row r="22" spans="1:30" ht="16" x14ac:dyDescent="0.2">
      <c r="A22" s="34" t="s">
        <v>19</v>
      </c>
      <c r="B22" s="25"/>
      <c r="C22" s="25"/>
      <c r="D22" s="25"/>
      <c r="E22" s="25"/>
      <c r="F22" s="25"/>
      <c r="G22" s="25"/>
    </row>
    <row r="23" spans="1:30" x14ac:dyDescent="0.2">
      <c r="A23" s="44" t="s">
        <v>20</v>
      </c>
      <c r="B23" s="25"/>
      <c r="C23" s="25"/>
      <c r="D23" s="25"/>
      <c r="E23" s="25"/>
      <c r="F23" s="25"/>
      <c r="G23" s="25"/>
      <c r="W23" s="101" t="s">
        <v>367</v>
      </c>
      <c r="X23" s="101"/>
      <c r="Y23" s="101"/>
      <c r="Z23" s="101"/>
      <c r="AA23" s="101"/>
      <c r="AB23" s="101"/>
      <c r="AC23" s="101"/>
      <c r="AD23" s="101"/>
    </row>
    <row r="24" spans="1:30" x14ac:dyDescent="0.2">
      <c r="A24" s="17" t="s">
        <v>21</v>
      </c>
      <c r="B24" s="25">
        <f>'Historical BS'!B24 / 'Historical BS'!$B$20</f>
        <v>0.11603513078162155</v>
      </c>
      <c r="C24" s="25">
        <f>'Historical BS'!C24 / 'Historical BS'!$C$20</f>
        <v>0.16135262590333327</v>
      </c>
      <c r="D24" s="25">
        <f>'Historical BS'!D24 / 'Historical BS'!$D$20</f>
        <v>0.18527289951176856</v>
      </c>
      <c r="E24" s="25">
        <f>'Historical BS'!E24 / 'Historical BS'!$E$20</f>
        <v>0.13535237952315743</v>
      </c>
      <c r="F24" s="25">
        <f>'Historical BS'!F24 / 'Historical BS'!$F$20</f>
        <v>0.10218726959941017</v>
      </c>
      <c r="G24" s="25">
        <f t="shared" si="3"/>
        <v>0.14004006106385819</v>
      </c>
      <c r="W24" s="101"/>
      <c r="X24" s="101"/>
      <c r="Y24" s="101"/>
      <c r="Z24" s="101"/>
      <c r="AA24" s="101"/>
      <c r="AB24" s="101"/>
      <c r="AC24" s="101"/>
      <c r="AD24" s="101"/>
    </row>
    <row r="25" spans="1:30" x14ac:dyDescent="0.2">
      <c r="A25" s="17" t="s">
        <v>22</v>
      </c>
      <c r="B25" s="25">
        <f>'Historical BS'!B25 / 'Historical BS'!$B$20</f>
        <v>5.3539924829331904E-2</v>
      </c>
      <c r="C25" s="25">
        <f>'Historical BS'!C25 / 'Historical BS'!$C$20</f>
        <v>6.8065860842413603E-2</v>
      </c>
      <c r="D25" s="25">
        <f>'Historical BS'!D25 / 'Historical BS'!$D$20</f>
        <v>6.585051859408779E-2</v>
      </c>
      <c r="E25" s="25">
        <f>'Historical BS'!E25 / 'Historical BS'!$E$20</f>
        <v>5.9352079386219961E-2</v>
      </c>
      <c r="F25" s="25">
        <f>'Historical BS'!F25 / 'Historical BS'!$F$20</f>
        <v>7.3097403129352007E-2</v>
      </c>
      <c r="G25" s="25">
        <f t="shared" si="3"/>
        <v>6.3981157356281043E-2</v>
      </c>
      <c r="W25" s="101"/>
      <c r="X25" s="101"/>
      <c r="Y25" s="101"/>
      <c r="Z25" s="101"/>
      <c r="AA25" s="101"/>
      <c r="AB25" s="101"/>
      <c r="AC25" s="101"/>
      <c r="AD25" s="101"/>
    </row>
    <row r="26" spans="1:30" x14ac:dyDescent="0.2">
      <c r="A26" s="17" t="s">
        <v>23</v>
      </c>
      <c r="B26" s="25">
        <f>'Historical BS'!B26 / 'Historical BS'!$B$20</f>
        <v>4.2379381759607274E-2</v>
      </c>
      <c r="C26" s="25">
        <f>'Historical BS'!C26 / 'Historical BS'!$C$20</f>
        <v>3.8177399365856013E-2</v>
      </c>
      <c r="D26" s="25">
        <f>'Historical BS'!D26 / 'Historical BS'!$D$20</f>
        <v>3.4127620296825284E-2</v>
      </c>
      <c r="E26" s="25">
        <f>'Historical BS'!E26 / 'Historical BS'!$E$20</f>
        <v>3.5078504567709015E-2</v>
      </c>
      <c r="F26" s="25">
        <f>'Historical BS'!F26 / 'Historical BS'!$F$20</f>
        <v>3.4086999262718111E-2</v>
      </c>
      <c r="G26" s="25">
        <f t="shared" si="3"/>
        <v>3.6769981050543139E-2</v>
      </c>
      <c r="W26" s="101"/>
      <c r="X26" s="101"/>
      <c r="Y26" s="101"/>
      <c r="Z26" s="101"/>
      <c r="AA26" s="101"/>
      <c r="AB26" s="101"/>
      <c r="AC26" s="101"/>
      <c r="AD26" s="101"/>
    </row>
    <row r="27" spans="1:30" x14ac:dyDescent="0.2">
      <c r="A27" s="17" t="s">
        <v>24</v>
      </c>
      <c r="B27" s="25">
        <f>'Historical BS'!B27 / 'Historical BS'!$B$20</f>
        <v>4.6368029454629131E-2</v>
      </c>
      <c r="C27" s="25">
        <f>'Historical BS'!C27 / 'Historical BS'!$C$20</f>
        <v>3.1497963979333986E-2</v>
      </c>
      <c r="D27" s="25">
        <f>'Historical BS'!D27 / 'Historical BS'!$D$20</f>
        <v>2.4132235419854747E-2</v>
      </c>
      <c r="E27" s="25">
        <f>'Historical BS'!E27 / 'Historical BS'!$E$20</f>
        <v>2.8559905456864695E-2</v>
      </c>
      <c r="F27" s="25">
        <f>'Historical BS'!F27 / 'Historical BS'!$F$20</f>
        <v>2.6730564430244942E-2</v>
      </c>
      <c r="G27" s="25">
        <f t="shared" si="3"/>
        <v>3.1457739748185498E-2</v>
      </c>
      <c r="W27" s="101"/>
      <c r="X27" s="101"/>
      <c r="Y27" s="101"/>
      <c r="Z27" s="101"/>
      <c r="AA27" s="101"/>
      <c r="AB27" s="101"/>
      <c r="AC27" s="101"/>
      <c r="AD27" s="101"/>
    </row>
    <row r="28" spans="1:30" x14ac:dyDescent="0.2">
      <c r="A28" s="17" t="s">
        <v>25</v>
      </c>
      <c r="B28" s="25">
        <f>'Historical BS'!B28 / 'Historical BS'!$B$20</f>
        <v>1.4899900283807624E-2</v>
      </c>
      <c r="C28" s="25">
        <f>'Historical BS'!C28 / 'Historical BS'!$C$20</f>
        <v>1.8058618081151116E-2</v>
      </c>
      <c r="D28" s="25">
        <f>'Historical BS'!D28 / 'Historical BS'!$D$20</f>
        <v>1.4999149845757731E-2</v>
      </c>
      <c r="E28" s="25">
        <f>'Historical BS'!E28 / 'Historical BS'!$E$20</f>
        <v>1.1292652272599374E-2</v>
      </c>
      <c r="F28" s="25">
        <f>'Historical BS'!F28 / 'Historical BS'!$F$20</f>
        <v>0</v>
      </c>
      <c r="G28" s="25">
        <f t="shared" si="3"/>
        <v>1.1850064096663167E-2</v>
      </c>
      <c r="W28" s="101"/>
      <c r="X28" s="101"/>
      <c r="Y28" s="101"/>
      <c r="Z28" s="101"/>
      <c r="AA28" s="101"/>
      <c r="AB28" s="101"/>
      <c r="AC28" s="101"/>
      <c r="AD28" s="101"/>
    </row>
    <row r="29" spans="1:30" x14ac:dyDescent="0.2">
      <c r="A29" s="45" t="s">
        <v>26</v>
      </c>
      <c r="B29" s="25">
        <f>'Historical BS'!B29 / 'Historical BS'!$B$20</f>
        <v>0.27322236710899744</v>
      </c>
      <c r="C29" s="25">
        <f>'Historical BS'!C29 / 'Historical BS'!$C$20</f>
        <v>0.31715246817208803</v>
      </c>
      <c r="D29" s="25">
        <f>'Historical BS'!D29 / 'Historical BS'!$D$20</f>
        <v>0.32438242366829412</v>
      </c>
      <c r="E29" s="25">
        <f>'Historical BS'!E29 / 'Historical BS'!$E$20</f>
        <v>0.26963552120655049</v>
      </c>
      <c r="F29" s="25">
        <f>'Historical BS'!F29 / 'Historical BS'!$F$20</f>
        <v>0.23610223642172523</v>
      </c>
      <c r="G29" s="25">
        <f t="shared" si="3"/>
        <v>0.28409900331553101</v>
      </c>
    </row>
    <row r="30" spans="1:30" x14ac:dyDescent="0.2">
      <c r="A30" s="44" t="s">
        <v>27</v>
      </c>
      <c r="B30" s="25"/>
      <c r="C30" s="25"/>
      <c r="D30" s="25"/>
      <c r="E30" s="25"/>
      <c r="F30" s="25"/>
      <c r="G30" s="25"/>
    </row>
    <row r="31" spans="1:30" x14ac:dyDescent="0.2">
      <c r="A31" s="17" t="s">
        <v>28</v>
      </c>
      <c r="B31" s="25">
        <f>'Historical BS'!B31 / 'Historical BS'!$B$20</f>
        <v>0.20827260872900208</v>
      </c>
      <c r="C31" s="25">
        <f>'Historical BS'!C31 / 'Historical BS'!$C$20</f>
        <v>0.11131319309201526</v>
      </c>
      <c r="D31" s="25">
        <f>'Historical BS'!D31 / 'Historical BS'!$D$20</f>
        <v>4.5677572931088928E-2</v>
      </c>
      <c r="E31" s="25">
        <f>'Historical BS'!E31 / 'Historical BS'!$E$20</f>
        <v>6.1227935245455736E-2</v>
      </c>
      <c r="F31" s="25">
        <f>'Historical BS'!F31 / 'Historical BS'!$F$20</f>
        <v>8.48693372655034E-2</v>
      </c>
      <c r="G31" s="25">
        <f t="shared" si="3"/>
        <v>0.10227212945261308</v>
      </c>
    </row>
    <row r="32" spans="1:30" x14ac:dyDescent="0.2">
      <c r="A32" s="45" t="s">
        <v>29</v>
      </c>
      <c r="B32" s="25">
        <f>'Historical BS'!B32 / 'Historical BS'!$B$20</f>
        <v>5.7681982051085372E-2</v>
      </c>
      <c r="C32" s="25">
        <f>'Historical BS'!C32 / 'Historical BS'!$C$20</f>
        <v>5.6831533373034392E-2</v>
      </c>
      <c r="D32" s="25">
        <f>'Historical BS'!D32 / 'Historical BS'!$D$20</f>
        <v>4.4973159416065486E-2</v>
      </c>
      <c r="E32" s="25">
        <f>'Historical BS'!E32 / 'Historical BS'!$E$20</f>
        <v>4.6108537020015383E-2</v>
      </c>
      <c r="F32" s="25">
        <f>'Historical BS'!F32 / 'Historical BS'!$F$20</f>
        <v>4.7063160481690833E-2</v>
      </c>
      <c r="G32" s="25">
        <f t="shared" si="3"/>
        <v>5.0531674468378293E-2</v>
      </c>
    </row>
    <row r="33" spans="1:30" x14ac:dyDescent="0.2">
      <c r="A33" s="17" t="s">
        <v>30</v>
      </c>
      <c r="B33" s="25">
        <f>'Historical BS'!B33 / 'Historical BS'!$B$20</f>
        <v>2.462222904042341E-2</v>
      </c>
      <c r="C33" s="25">
        <f>'Historical BS'!C33 / 'Historical BS'!$C$20</f>
        <v>3.3026991356971562E-2</v>
      </c>
      <c r="D33" s="25">
        <f>'Historical BS'!D33 / 'Historical BS'!$D$20</f>
        <v>3.4054749933202164E-2</v>
      </c>
      <c r="E33" s="25">
        <f>'Historical BS'!E33 / 'Historical BS'!$E$20</f>
        <v>3.0492036991877546E-2</v>
      </c>
      <c r="F33" s="25">
        <f>'Historical BS'!F33 / 'Historical BS'!$F$20</f>
        <v>2.717293356270992E-2</v>
      </c>
      <c r="G33" s="25">
        <f t="shared" si="3"/>
        <v>2.9873788177036918E-2</v>
      </c>
    </row>
    <row r="34" spans="1:30" x14ac:dyDescent="0.2">
      <c r="A34" s="17" t="s">
        <v>31</v>
      </c>
      <c r="B34" s="25">
        <f>'Historical BS'!B34 / 'Historical BS'!$B$20</f>
        <v>2.8956048170591395E-3</v>
      </c>
      <c r="C34" s="25">
        <f>'Historical BS'!C34 / 'Historical BS'!$C$20</f>
        <v>3.8628060066633402E-4</v>
      </c>
      <c r="D34" s="25">
        <f>'Historical BS'!D34 / 'Historical BS'!$D$20</f>
        <v>9.9589496951589789E-4</v>
      </c>
      <c r="E34" s="25">
        <f>'Historical BS'!E34 / 'Historical BS'!$E$20</f>
        <v>0</v>
      </c>
      <c r="F34" s="25">
        <f>'Historical BS'!F34 / 'Historical BS'!$F$20</f>
        <v>0</v>
      </c>
      <c r="G34" s="25">
        <f t="shared" si="3"/>
        <v>8.5555607744827419E-4</v>
      </c>
    </row>
    <row r="35" spans="1:30" x14ac:dyDescent="0.2">
      <c r="A35" s="17" t="s">
        <v>32</v>
      </c>
      <c r="B35" s="25">
        <f>'Historical BS'!B35 / 'Historical BS'!$B$20</f>
        <v>3.6914167369793666E-2</v>
      </c>
      <c r="C35" s="25">
        <f>'Historical BS'!C35 / 'Historical BS'!$C$20</f>
        <v>3.0178171927057348E-2</v>
      </c>
      <c r="D35" s="25">
        <f>'Historical BS'!D35 / 'Historical BS'!$D$20</f>
        <v>3.7455366902280844E-2</v>
      </c>
      <c r="E35" s="25">
        <f>'Historical BS'!E35 / 'Historical BS'!$E$20</f>
        <v>4.2037929805473745E-2</v>
      </c>
      <c r="F35" s="25">
        <f>'Historical BS'!F35 / 'Historical BS'!$F$20</f>
        <v>4.8267387564512168E-2</v>
      </c>
      <c r="G35" s="25">
        <f t="shared" si="3"/>
        <v>3.8970604713823555E-2</v>
      </c>
    </row>
    <row r="36" spans="1:30" x14ac:dyDescent="0.2">
      <c r="A36" s="45" t="s">
        <v>33</v>
      </c>
      <c r="B36" s="25">
        <f>'Historical BS'!B36 / 'Historical BS'!$B$20</f>
        <v>0.27270460995627827</v>
      </c>
      <c r="C36" s="25">
        <f>'Historical BS'!C36 / 'Historical BS'!$C$20</f>
        <v>0.17451835637604415</v>
      </c>
      <c r="D36" s="25">
        <f>'Historical BS'!D36 / 'Historical BS'!$D$20</f>
        <v>0.11818358473608784</v>
      </c>
      <c r="E36" s="25">
        <f>'Historical BS'!E36 / 'Historical BS'!$E$20</f>
        <v>0.13375790204280702</v>
      </c>
      <c r="F36" s="25">
        <f>'Historical BS'!F36 / 'Historical BS'!$F$20</f>
        <v>0.16030965839272548</v>
      </c>
      <c r="G36" s="25">
        <f t="shared" si="3"/>
        <v>0.17189482230078854</v>
      </c>
    </row>
    <row r="37" spans="1:30" x14ac:dyDescent="0.2">
      <c r="A37" s="45" t="s">
        <v>34</v>
      </c>
      <c r="B37" s="25">
        <f>'Historical BS'!B37 / 'Historical BS'!$B$20</f>
        <v>0.54592697706527571</v>
      </c>
      <c r="C37" s="25">
        <f>'Historical BS'!C37 / 'Historical BS'!$C$20</f>
        <v>0.49167082454813216</v>
      </c>
      <c r="D37" s="25">
        <f>'Historical BS'!D37 / 'Historical BS'!$D$20</f>
        <v>0.44256600840438193</v>
      </c>
      <c r="E37" s="25">
        <f>'Historical BS'!E37 / 'Historical BS'!$E$20</f>
        <v>0.40339342324935751</v>
      </c>
      <c r="F37" s="25">
        <f>'Historical BS'!F37 / 'Historical BS'!$F$20</f>
        <v>0.39641189481445072</v>
      </c>
      <c r="G37" s="25">
        <f t="shared" si="3"/>
        <v>0.45599382561631963</v>
      </c>
    </row>
    <row r="38" spans="1:30" x14ac:dyDescent="0.2">
      <c r="A38" s="44" t="s">
        <v>35</v>
      </c>
      <c r="B38" s="25"/>
      <c r="C38" s="25"/>
      <c r="D38" s="25"/>
      <c r="E38" s="25"/>
      <c r="F38" s="25"/>
      <c r="G38" s="25"/>
    </row>
    <row r="39" spans="1:30" x14ac:dyDescent="0.2">
      <c r="A39" s="17" t="s">
        <v>36</v>
      </c>
      <c r="B39" s="25"/>
      <c r="C39" s="25"/>
      <c r="D39" s="25"/>
      <c r="E39" s="25"/>
      <c r="F39" s="25"/>
      <c r="G39" s="25"/>
    </row>
    <row r="40" spans="1:30" x14ac:dyDescent="0.2">
      <c r="A40" s="17" t="s">
        <v>37</v>
      </c>
      <c r="B40" s="25">
        <f>'Historical BS'!B40 / 'Historical BS'!$B$20</f>
        <v>-0.10353225435299532</v>
      </c>
      <c r="C40" s="25">
        <f>'Historical BS'!C40 / 'Historical BS'!$C$20</f>
        <v>5.2952632341343288E-3</v>
      </c>
      <c r="D40" s="25">
        <f>'Historical BS'!D40 / 'Historical BS'!$D$20</f>
        <v>0.15648910588063836</v>
      </c>
      <c r="E40" s="25">
        <f>'Historical BS'!E40 / 'Historical BS'!$E$20</f>
        <v>0.26151306533605956</v>
      </c>
      <c r="F40" s="25">
        <f>'Historical BS'!F40 / 'Historical BS'!$F$20</f>
        <v>0.28843286638813798</v>
      </c>
      <c r="G40" s="25">
        <f t="shared" si="3"/>
        <v>0.12163960929719497</v>
      </c>
    </row>
    <row r="41" spans="1:30" x14ac:dyDescent="0.2">
      <c r="A41" s="17" t="s">
        <v>38</v>
      </c>
      <c r="B41" s="25">
        <f>'Historical BS'!B41 / 'Historical BS'!$B$20</f>
        <v>6.9609572754468054E-3</v>
      </c>
      <c r="C41" s="25">
        <f>'Historical BS'!C41 / 'Historical BS'!$C$20</f>
        <v>8.6913135149925156E-4</v>
      </c>
      <c r="D41" s="25">
        <f>'Historical BS'!D41 / 'Historical BS'!$D$20</f>
        <v>-4.3843668779907216E-3</v>
      </c>
      <c r="E41" s="25">
        <f>'Historical BS'!E41 / 'Historical BS'!$E$20</f>
        <v>-1.3412369393535802E-3</v>
      </c>
      <c r="F41" s="25">
        <f>'Historical BS'!F41 / 'Historical BS'!$F$20</f>
        <v>-5.4886540509543709E-3</v>
      </c>
      <c r="G41" s="25">
        <f t="shared" si="3"/>
        <v>-6.7683384827052322E-4</v>
      </c>
    </row>
    <row r="42" spans="1:30" ht="15" customHeight="1" x14ac:dyDescent="0.2">
      <c r="A42" s="17" t="s">
        <v>39</v>
      </c>
      <c r="B42" s="25">
        <f>'Historical BS'!B42 / 'Historical BS'!$B$20</f>
        <v>0.52274296233796114</v>
      </c>
      <c r="C42" s="25">
        <f>'Historical BS'!C42 / 'Historical BS'!$C$20</f>
        <v>0.4797122209525036</v>
      </c>
      <c r="D42" s="25">
        <f>'Historical BS'!D42 / 'Historical BS'!$D$20</f>
        <v>0.39079161505015908</v>
      </c>
      <c r="E42" s="25">
        <f>'Historical BS'!E42 / 'Historical BS'!$E$20</f>
        <v>0.32726181320227354</v>
      </c>
      <c r="F42" s="25">
        <f>'Historical BS'!F42 / 'Historical BS'!$F$20</f>
        <v>0.31433603670025395</v>
      </c>
      <c r="G42" s="25">
        <f t="shared" si="3"/>
        <v>0.40696892964863024</v>
      </c>
      <c r="W42" s="101" t="s">
        <v>368</v>
      </c>
      <c r="X42" s="101"/>
      <c r="Y42" s="101"/>
      <c r="Z42" s="101"/>
      <c r="AA42" s="101"/>
      <c r="AB42" s="101"/>
      <c r="AC42" s="101"/>
      <c r="AD42" s="101"/>
    </row>
    <row r="43" spans="1:30" x14ac:dyDescent="0.2">
      <c r="A43" s="45" t="s">
        <v>40</v>
      </c>
      <c r="B43" s="25">
        <f>'Historical BS'!B43 / 'Historical BS'!$B$20</f>
        <v>0.42619084145125413</v>
      </c>
      <c r="C43" s="25">
        <f>'Historical BS'!C43 / 'Historical BS'!$C$20</f>
        <v>0.48589271056316491</v>
      </c>
      <c r="D43" s="25">
        <f>'Historical BS'!D43 / 'Historical BS'!$D$20</f>
        <v>0.5429327892346183</v>
      </c>
      <c r="E43" s="25">
        <f>'Historical BS'!E43 / 'Historical BS'!$E$20</f>
        <v>0.58746177943686806</v>
      </c>
      <c r="F43" s="25">
        <f>'Historical BS'!F43 / 'Historical BS'!$F$20</f>
        <v>0.59730482510035221</v>
      </c>
      <c r="G43" s="25">
        <f t="shared" si="3"/>
        <v>0.52795658915725152</v>
      </c>
      <c r="W43" s="101"/>
      <c r="X43" s="101"/>
      <c r="Y43" s="101"/>
      <c r="Z43" s="101"/>
      <c r="AA43" s="101"/>
      <c r="AB43" s="101"/>
      <c r="AC43" s="101"/>
      <c r="AD43" s="101"/>
    </row>
    <row r="44" spans="1:30" x14ac:dyDescent="0.2">
      <c r="A44" s="17" t="s">
        <v>41</v>
      </c>
      <c r="B44" s="25">
        <f>'Historical BS'!B44 / 'Historical BS'!$B$20</f>
        <v>2.7882181483470124E-2</v>
      </c>
      <c r="C44" s="25">
        <f>'Historical BS'!C44 / 'Historical BS'!$C$20</f>
        <v>2.2436464888702903E-2</v>
      </c>
      <c r="D44" s="25">
        <f>'Historical BS'!D44 / 'Historical BS'!$D$20</f>
        <v>1.4501202360999782E-2</v>
      </c>
      <c r="E44" s="25">
        <f>'Historical BS'!E44 / 'Historical BS'!$E$20</f>
        <v>9.1447973137744089E-3</v>
      </c>
      <c r="F44" s="25">
        <f>'Historical BS'!F44 / 'Historical BS'!$F$20</f>
        <v>6.2832800851970183E-3</v>
      </c>
      <c r="G44" s="25">
        <f t="shared" si="3"/>
        <v>1.6049585226428846E-2</v>
      </c>
      <c r="W44" s="101"/>
      <c r="X44" s="101"/>
      <c r="Y44" s="101"/>
      <c r="Z44" s="101"/>
      <c r="AA44" s="101"/>
      <c r="AB44" s="101"/>
      <c r="AC44" s="101"/>
      <c r="AD44" s="101"/>
    </row>
    <row r="45" spans="1:30" x14ac:dyDescent="0.2">
      <c r="A45" s="45" t="s">
        <v>42</v>
      </c>
      <c r="B45" s="25">
        <f>'Historical BS'!B45 / 'Historical BS'!$B$20</f>
        <v>0.45407302293472424</v>
      </c>
      <c r="C45" s="25">
        <f>'Historical BS'!C45 / 'Historical BS'!$C$20</f>
        <v>0.50832917545186784</v>
      </c>
      <c r="D45" s="25">
        <f>'Historical BS'!D45 / 'Historical BS'!$D$20</f>
        <v>0.55743399159561802</v>
      </c>
      <c r="E45" s="25">
        <f>'Historical BS'!E45 / 'Historical BS'!$E$20</f>
        <v>0.59660657675064244</v>
      </c>
      <c r="F45" s="25">
        <f>'Historical BS'!F45 / 'Historical BS'!$F$20</f>
        <v>0.60358810518554928</v>
      </c>
      <c r="G45" s="25">
        <f t="shared" si="3"/>
        <v>0.54400617438368037</v>
      </c>
      <c r="W45" s="101"/>
      <c r="X45" s="101"/>
      <c r="Y45" s="101"/>
      <c r="Z45" s="101"/>
      <c r="AA45" s="101"/>
      <c r="AB45" s="101"/>
      <c r="AC45" s="101"/>
      <c r="AD45" s="101"/>
    </row>
    <row r="46" spans="1:30" x14ac:dyDescent="0.2">
      <c r="A46" s="45" t="s">
        <v>43</v>
      </c>
      <c r="B46" s="25">
        <f>'Historical BS'!B46 / 'Historical BS'!$B$20</f>
        <v>1</v>
      </c>
      <c r="C46" s="25">
        <f>'Historical BS'!C46 / 'Historical BS'!$C$20</f>
        <v>1</v>
      </c>
      <c r="D46" s="25">
        <f>'Historical BS'!D46 / 'Historical BS'!$D$20</f>
        <v>1</v>
      </c>
      <c r="E46" s="25">
        <f>'Historical BS'!E46 / 'Historical BS'!$E$20</f>
        <v>1</v>
      </c>
      <c r="F46" s="25">
        <f>'Historical BS'!F46 / 'Historical BS'!$F$20</f>
        <v>1</v>
      </c>
      <c r="G46" s="25">
        <f t="shared" si="3"/>
        <v>1</v>
      </c>
      <c r="W46" s="101"/>
      <c r="X46" s="101"/>
      <c r="Y46" s="101"/>
      <c r="Z46" s="101"/>
      <c r="AA46" s="101"/>
      <c r="AB46" s="101"/>
      <c r="AC46" s="101"/>
      <c r="AD46" s="101"/>
    </row>
    <row r="47" spans="1:30" x14ac:dyDescent="0.2">
      <c r="A47" s="20"/>
      <c r="B47" s="25"/>
      <c r="C47" s="25"/>
      <c r="D47" s="25"/>
      <c r="E47" s="25"/>
      <c r="F47" s="25"/>
      <c r="G47" s="25"/>
      <c r="W47" s="101"/>
      <c r="X47" s="101"/>
      <c r="Y47" s="101"/>
      <c r="Z47" s="101"/>
      <c r="AA47" s="101"/>
      <c r="AB47" s="101"/>
      <c r="AC47" s="101"/>
      <c r="AD47" s="101"/>
    </row>
    <row r="48" spans="1:30" x14ac:dyDescent="0.2">
      <c r="A48" s="45" t="s">
        <v>92</v>
      </c>
      <c r="B48" s="25">
        <f>'Historical BS'!B48 / 'Historical BS'!$B$20</f>
        <v>0.30037585334049244</v>
      </c>
      <c r="C48" s="25">
        <f>'Historical BS'!C48 / 'Historical BS'!$C$20</f>
        <v>0.16857929214079928</v>
      </c>
      <c r="D48" s="25">
        <f>'Historical BS'!D48 / 'Historical BS'!$D$20</f>
        <v>0.21168840632514757</v>
      </c>
      <c r="E48" s="25">
        <f>'Historical BS'!E48 / 'Historical BS'!$E$20</f>
        <v>0.23557935808212496</v>
      </c>
      <c r="F48" s="25">
        <f>'Historical BS'!F48 / 'Historical BS'!$F$20</f>
        <v>0.26871467190956011</v>
      </c>
      <c r="G48" s="25">
        <f t="shared" si="3"/>
        <v>0.23698751635962489</v>
      </c>
      <c r="W48" s="101"/>
      <c r="X48" s="101"/>
      <c r="Y48" s="101"/>
      <c r="Z48" s="101"/>
      <c r="AA48" s="101"/>
      <c r="AB48" s="101"/>
      <c r="AC48" s="101"/>
      <c r="AD48" s="101"/>
    </row>
    <row r="49" spans="1:30" x14ac:dyDescent="0.2">
      <c r="A49" s="8" t="s">
        <v>93</v>
      </c>
      <c r="B49" s="25"/>
      <c r="C49" s="25"/>
      <c r="D49" s="25"/>
      <c r="E49" s="25"/>
      <c r="F49" s="25"/>
      <c r="G49" s="25"/>
      <c r="W49" s="101"/>
      <c r="X49" s="101"/>
      <c r="Y49" s="101"/>
      <c r="Z49" s="101"/>
      <c r="AA49" s="101"/>
      <c r="AB49" s="101"/>
      <c r="AC49" s="101"/>
      <c r="AD49" s="101"/>
    </row>
    <row r="50" spans="1:30" x14ac:dyDescent="0.2">
      <c r="A50" s="8" t="s">
        <v>95</v>
      </c>
      <c r="B50" s="25">
        <f>'Historical BS'!B50 / 'Historical BS'!$B$20</f>
        <v>0.75467899056531407</v>
      </c>
      <c r="C50" s="25">
        <f>'Historical BS'!C50 / 'Historical BS'!$C$20</f>
        <v>0.69477394537348502</v>
      </c>
      <c r="D50" s="25">
        <f>'Historical BS'!D50 / 'Historical BS'!$D$20</f>
        <v>0.66146858072821779</v>
      </c>
      <c r="E50" s="25">
        <f>'Historical BS'!E50 / 'Historical BS'!$E$20</f>
        <v>0.66219587686882142</v>
      </c>
      <c r="F50" s="25">
        <f>'Historical BS'!F50 / 'Historical BS'!$F$20</f>
        <v>0.70070451380355536</v>
      </c>
      <c r="G50" s="25">
        <f t="shared" si="3"/>
        <v>0.69476438146787878</v>
      </c>
      <c r="W50" s="101"/>
      <c r="X50" s="101"/>
      <c r="Y50" s="101"/>
      <c r="Z50" s="101"/>
      <c r="AA50" s="101"/>
      <c r="AB50" s="101"/>
      <c r="AC50" s="101"/>
      <c r="AD50" s="101"/>
    </row>
    <row r="51" spans="1:30" x14ac:dyDescent="0.2">
      <c r="A51" s="8" t="s">
        <v>96</v>
      </c>
      <c r="B51" s="25">
        <f>'Historical BS'!B51/'Historical BS'!B20</f>
        <v>0.31232262023471657</v>
      </c>
      <c r="C51" s="25">
        <f>'Historical BS'!C51/'Historical BS'!C20</f>
        <v>0.19964269044438365</v>
      </c>
      <c r="D51" s="25">
        <f>'Historical BS'!D51/'Historical BS'!D20</f>
        <v>0.11478296776700916</v>
      </c>
      <c r="E51" s="25">
        <f>'Historical BS'!E51/'Historical BS'!E20</f>
        <v>0.13589637772233581</v>
      </c>
      <c r="F51" s="25">
        <f>'Historical BS'!F51/'Historical BS'!F20</f>
        <v>0.15866306217743917</v>
      </c>
      <c r="G51" s="25">
        <f t="shared" si="3"/>
        <v>0.18426154366917688</v>
      </c>
    </row>
  </sheetData>
  <mergeCells count="4">
    <mergeCell ref="W23:AD28"/>
    <mergeCell ref="W2:AD6"/>
    <mergeCell ref="W9:AD16"/>
    <mergeCell ref="W42:AD5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5C80E-6463-2146-9CB1-C28764F295D1}">
  <dimension ref="A1:P47"/>
  <sheetViews>
    <sheetView topLeftCell="A5" zoomScale="117" zoomScaleNormal="125" workbookViewId="0">
      <selection activeCell="N37" sqref="N37"/>
    </sheetView>
  </sheetViews>
  <sheetFormatPr baseColWidth="10" defaultRowHeight="15" x14ac:dyDescent="0.2"/>
  <cols>
    <col min="1" max="1" width="38.5" customWidth="1"/>
    <col min="2" max="2" width="13.83203125" customWidth="1"/>
    <col min="3" max="3" width="12.33203125" customWidth="1"/>
    <col min="7" max="7" width="16" customWidth="1"/>
  </cols>
  <sheetData>
    <row r="1" spans="1:14" x14ac:dyDescent="0.2">
      <c r="A1" s="36"/>
      <c r="B1" s="67">
        <v>2020</v>
      </c>
      <c r="C1" s="67">
        <v>2021</v>
      </c>
      <c r="D1" s="67">
        <v>2022</v>
      </c>
      <c r="E1" s="67">
        <v>2023</v>
      </c>
      <c r="F1" s="67">
        <v>2024</v>
      </c>
      <c r="G1" s="37" t="s">
        <v>179</v>
      </c>
      <c r="I1" s="36"/>
      <c r="J1" s="43">
        <v>2020</v>
      </c>
      <c r="K1" s="43">
        <v>2021</v>
      </c>
      <c r="L1" s="43">
        <v>2022</v>
      </c>
      <c r="M1" s="43">
        <v>2023</v>
      </c>
      <c r="N1" s="43">
        <v>2024</v>
      </c>
    </row>
    <row r="2" spans="1:14" ht="16" x14ac:dyDescent="0.2">
      <c r="A2" s="34" t="s">
        <v>44</v>
      </c>
      <c r="B2" s="20"/>
      <c r="C2" s="20"/>
      <c r="D2" s="20"/>
      <c r="E2" s="20"/>
      <c r="F2" s="20"/>
      <c r="G2" s="20"/>
      <c r="I2" s="55" t="s">
        <v>48</v>
      </c>
      <c r="J2" s="25">
        <f>B7</f>
        <v>0.2102359208523592</v>
      </c>
      <c r="K2" s="25">
        <f t="shared" ref="K2:N2" si="0">C7</f>
        <v>0.25279155751258753</v>
      </c>
      <c r="L2" s="25">
        <f t="shared" si="0"/>
        <v>0.25598438535759005</v>
      </c>
      <c r="M2" s="25">
        <f t="shared" si="0"/>
        <v>0.18248891736331416</v>
      </c>
      <c r="N2" s="25">
        <f t="shared" si="0"/>
        <v>0.17862626676220697</v>
      </c>
    </row>
    <row r="3" spans="1:14" x14ac:dyDescent="0.2">
      <c r="A3" s="45" t="s">
        <v>45</v>
      </c>
      <c r="B3" s="25">
        <f>'Historical IS'!B3 / 'Historical IS'!$B$3</f>
        <v>1</v>
      </c>
      <c r="C3" s="25">
        <f>'Historical IS'!C3 / 'Historical IS'!$C$3</f>
        <v>1</v>
      </c>
      <c r="D3" s="51">
        <f>'Historical IS'!D3 / 'Historical IS'!$D$3</f>
        <v>1</v>
      </c>
      <c r="E3" s="25">
        <f>'Historical IS'!E3 / 'Historical IS'!$E$3</f>
        <v>1</v>
      </c>
      <c r="F3" s="25">
        <f>'Historical IS'!F3 / 'Historical IS'!$F$3</f>
        <v>1</v>
      </c>
      <c r="G3" s="25">
        <f t="shared" ref="G3" si="1">(B3+C3+D3+E3+F3)/5</f>
        <v>1</v>
      </c>
      <c r="I3" s="55" t="s">
        <v>68</v>
      </c>
      <c r="J3" s="25">
        <f>B32</f>
        <v>2.2862760020294266E-2</v>
      </c>
      <c r="K3" s="25">
        <f t="shared" ref="K3:N3" si="2">C32</f>
        <v>0.10263270349107259</v>
      </c>
      <c r="L3" s="25">
        <f t="shared" si="2"/>
        <v>0.15446465836831896</v>
      </c>
      <c r="M3" s="25">
        <f t="shared" si="2"/>
        <v>0.15499157822946483</v>
      </c>
      <c r="N3" s="25">
        <f t="shared" si="2"/>
        <v>7.2985976046678266E-2</v>
      </c>
    </row>
    <row r="4" spans="1:14" x14ac:dyDescent="0.2">
      <c r="A4" s="1"/>
      <c r="B4" s="25"/>
      <c r="C4" s="25"/>
      <c r="D4" s="51"/>
      <c r="E4" s="25"/>
      <c r="F4" s="25"/>
      <c r="G4" s="25"/>
    </row>
    <row r="5" spans="1:14" ht="16" x14ac:dyDescent="0.2">
      <c r="A5" s="34" t="s">
        <v>46</v>
      </c>
      <c r="B5" s="25"/>
      <c r="C5" s="25"/>
      <c r="D5" s="51"/>
      <c r="E5" s="25"/>
      <c r="F5" s="25"/>
      <c r="G5" s="25"/>
    </row>
    <row r="6" spans="1:14" x14ac:dyDescent="0.2">
      <c r="A6" s="45" t="s">
        <v>47</v>
      </c>
      <c r="B6" s="25">
        <f>'Historical IS'!B6 / 'Historical IS'!$B$3</f>
        <v>0.7897640791476408</v>
      </c>
      <c r="C6" s="25">
        <f>'Historical IS'!C6 / 'Historical IS'!$C$3</f>
        <v>0.74720844248741247</v>
      </c>
      <c r="D6" s="51">
        <f>'Historical IS'!D6 / 'Historical IS'!$D$3</f>
        <v>0.74401561464240995</v>
      </c>
      <c r="E6" s="25">
        <f>'Historical IS'!E6 / 'Historical IS'!$E$3</f>
        <v>0.81751108263668582</v>
      </c>
      <c r="F6" s="25">
        <f>'Historical IS'!F6 / 'Historical IS'!$F$3</f>
        <v>0.82137373323779306</v>
      </c>
      <c r="G6" s="25">
        <f>(B6+C6+D6+E6+F6)/5</f>
        <v>0.78397459043038853</v>
      </c>
    </row>
    <row r="7" spans="1:14" x14ac:dyDescent="0.2">
      <c r="A7" s="45" t="s">
        <v>48</v>
      </c>
      <c r="B7" s="25">
        <f>'Historical IS'!B7 / 'Historical IS'!$B$3</f>
        <v>0.2102359208523592</v>
      </c>
      <c r="C7" s="25">
        <f>'Historical IS'!C7 / 'Historical IS'!$C$3</f>
        <v>0.25279155751258753</v>
      </c>
      <c r="D7" s="51">
        <f>'Historical IS'!D7 / 'Historical IS'!$D$3</f>
        <v>0.25598438535759005</v>
      </c>
      <c r="E7" s="25">
        <f>'Historical IS'!E7 / 'Historical IS'!$E$3</f>
        <v>0.18248891736331416</v>
      </c>
      <c r="F7" s="25">
        <f>'Historical IS'!F7 / 'Historical IS'!$F$3</f>
        <v>0.17862626676220697</v>
      </c>
      <c r="G7" s="25">
        <f>(B7+C7+D7+E7+F7)/5</f>
        <v>0.21602540956961161</v>
      </c>
    </row>
    <row r="8" spans="1:14" x14ac:dyDescent="0.2">
      <c r="A8" s="52" t="s">
        <v>49</v>
      </c>
      <c r="B8" s="25"/>
      <c r="C8" s="25"/>
      <c r="D8" s="51"/>
      <c r="E8" s="25"/>
      <c r="F8" s="25"/>
      <c r="G8" s="25"/>
    </row>
    <row r="9" spans="1:14" x14ac:dyDescent="0.2">
      <c r="A9" s="1"/>
      <c r="B9" s="25"/>
      <c r="C9" s="25"/>
      <c r="D9" s="51"/>
      <c r="E9" s="25"/>
      <c r="F9" s="25"/>
      <c r="G9" s="25"/>
    </row>
    <row r="10" spans="1:14" ht="16" x14ac:dyDescent="0.2">
      <c r="A10" s="34" t="s">
        <v>50</v>
      </c>
      <c r="B10" s="25"/>
      <c r="C10" s="25"/>
      <c r="D10" s="51"/>
      <c r="E10" s="25"/>
      <c r="F10" s="25"/>
      <c r="G10" s="25"/>
    </row>
    <row r="11" spans="1:14" x14ac:dyDescent="0.2">
      <c r="A11" s="17" t="s">
        <v>51</v>
      </c>
      <c r="B11" s="25">
        <f>'Historical IS'!B11 / 'Historical IS'!$B$3</f>
        <v>4.7279299847792999E-2</v>
      </c>
      <c r="C11" s="25">
        <f>'Historical IS'!C11 / 'Historical IS'!$C$3</f>
        <v>4.817643015067908E-2</v>
      </c>
      <c r="D11" s="51">
        <f>'Historical IS'!D11 / 'Historical IS'!$D$3</f>
        <v>3.7747661486337188E-2</v>
      </c>
      <c r="E11" s="25">
        <f>'Historical IS'!E11 / 'Historical IS'!$E$3</f>
        <v>4.1013505833238609E-2</v>
      </c>
      <c r="F11" s="25">
        <f>'Historical IS'!F11 / 'Historical IS'!$F$3</f>
        <v>4.6473538745009722E-2</v>
      </c>
      <c r="G11" s="25">
        <f t="shared" ref="G11:G41" si="3">(B11+C11+D11+E11+F11)/5</f>
        <v>4.4138087212611518E-2</v>
      </c>
    </row>
    <row r="12" spans="1:14" x14ac:dyDescent="0.2">
      <c r="A12" s="17" t="s">
        <v>52</v>
      </c>
      <c r="B12" s="25">
        <f>'Historical IS'!B12 / 'Historical IS'!$B$3</f>
        <v>9.9727295788939629E-2</v>
      </c>
      <c r="C12" s="25">
        <f>'Historical IS'!C12 / 'Historical IS'!$C$3</f>
        <v>8.3923229845976624E-2</v>
      </c>
      <c r="D12" s="51">
        <f>'Historical IS'!D12 / 'Historical IS'!$D$3</f>
        <v>4.8439763325231394E-2</v>
      </c>
      <c r="E12" s="25">
        <f>'Historical IS'!E12 / 'Historical IS'!$E$3</f>
        <v>4.9600611740878139E-2</v>
      </c>
      <c r="F12" s="25">
        <f>'Historical IS'!F12 / 'Historical IS'!$F$3</f>
        <v>5.2717780734977994E-2</v>
      </c>
      <c r="G12" s="25">
        <f t="shared" si="3"/>
        <v>6.688173628720076E-2</v>
      </c>
    </row>
    <row r="13" spans="1:14" x14ac:dyDescent="0.2">
      <c r="A13" s="17" t="s">
        <v>53</v>
      </c>
      <c r="B13" s="25">
        <f>'Historical IS'!B13 / 'Historical IS'!$B$3</f>
        <v>0</v>
      </c>
      <c r="C13" s="25">
        <f>'Historical IS'!C13 / 'Historical IS'!$C$3</f>
        <v>-5.0164427846831284E-4</v>
      </c>
      <c r="D13" s="51">
        <f>'Historical IS'!D13 / 'Historical IS'!$D$3</f>
        <v>2.160516559868405E-3</v>
      </c>
      <c r="E13" s="25">
        <f>'Historical IS'!E13 / 'Historical IS'!$E$3</f>
        <v>0</v>
      </c>
      <c r="F13" s="25">
        <f>'Historical IS'!F13 / 'Historical IS'!$F$3</f>
        <v>7.0017401985873681E-3</v>
      </c>
      <c r="G13" s="25">
        <f t="shared" si="3"/>
        <v>1.7321224959974922E-3</v>
      </c>
    </row>
    <row r="14" spans="1:14" x14ac:dyDescent="0.2">
      <c r="A14" s="45" t="s">
        <v>54</v>
      </c>
      <c r="B14" s="25">
        <f>'Historical IS'!B14 / 'Historical IS'!$B$3</f>
        <v>0.14700659563673263</v>
      </c>
      <c r="C14" s="25">
        <f>'Historical IS'!C14 / 'Historical IS'!$C$3</f>
        <v>0.13209965999665571</v>
      </c>
      <c r="D14" s="51">
        <f>'Historical IS'!D14 / 'Historical IS'!$D$3</f>
        <v>8.8347941371436992E-2</v>
      </c>
      <c r="E14" s="25">
        <f>'Historical IS'!E14 / 'Historical IS'!$E$3</f>
        <v>9.0614117574116748E-2</v>
      </c>
      <c r="F14" s="25">
        <f>'Historical IS'!F14 / 'Historical IS'!$F$3</f>
        <v>0.10619305967857509</v>
      </c>
      <c r="G14" s="25">
        <f t="shared" si="3"/>
        <v>0.11285227485150343</v>
      </c>
    </row>
    <row r="15" spans="1:14" x14ac:dyDescent="0.2">
      <c r="A15" s="1"/>
      <c r="B15" s="25"/>
      <c r="C15" s="25"/>
      <c r="D15" s="51"/>
      <c r="E15" s="25"/>
      <c r="F15" s="25"/>
      <c r="G15" s="25"/>
    </row>
    <row r="16" spans="1:14" ht="16" x14ac:dyDescent="0.2">
      <c r="A16" s="34" t="s">
        <v>55</v>
      </c>
      <c r="B16" s="25"/>
      <c r="C16" s="25"/>
      <c r="D16" s="51"/>
      <c r="E16" s="25"/>
      <c r="F16" s="25"/>
      <c r="G16" s="25"/>
    </row>
    <row r="17" spans="1:16" x14ac:dyDescent="0.2">
      <c r="A17" s="17" t="s">
        <v>56</v>
      </c>
      <c r="B17" s="25">
        <f>'Historical IS'!B17 / 'Historical IS'!$B$3</f>
        <v>6.3229325215626589E-2</v>
      </c>
      <c r="C17" s="25">
        <f>'Historical IS'!C17 / 'Historical IS'!$C$3</f>
        <v>0.12119354179440016</v>
      </c>
      <c r="D17" s="51">
        <f>'Historical IS'!D17 / 'Historical IS'!$D$3</f>
        <v>0.16763644398615304</v>
      </c>
      <c r="E17" s="25">
        <f>'Historical IS'!E17 / 'Historical IS'!$E$3</f>
        <v>9.1874799789197395E-2</v>
      </c>
      <c r="F17" s="25">
        <f>'Historical IS'!F17 / 'Historical IS'!$F$3</f>
        <v>7.2433207083631893E-2</v>
      </c>
      <c r="G17" s="25">
        <f t="shared" si="3"/>
        <v>0.10327346357380182</v>
      </c>
      <c r="H17" s="6"/>
    </row>
    <row r="18" spans="1:16" x14ac:dyDescent="0.2">
      <c r="A18" s="52" t="s">
        <v>57</v>
      </c>
      <c r="B18" s="25"/>
      <c r="C18" s="25"/>
      <c r="D18" s="51"/>
      <c r="E18" s="25"/>
      <c r="F18" s="25"/>
      <c r="G18" s="25"/>
    </row>
    <row r="19" spans="1:16" x14ac:dyDescent="0.2">
      <c r="A19" s="1"/>
      <c r="B19" s="25"/>
      <c r="C19" s="25"/>
      <c r="D19" s="51"/>
      <c r="E19" s="25"/>
      <c r="F19" s="25"/>
      <c r="G19" s="25"/>
    </row>
    <row r="20" spans="1:16" ht="16" x14ac:dyDescent="0.2">
      <c r="A20" s="34" t="s">
        <v>58</v>
      </c>
      <c r="B20" s="25"/>
      <c r="C20" s="25"/>
      <c r="D20" s="51"/>
      <c r="E20" s="25"/>
      <c r="F20" s="25"/>
      <c r="G20" s="25"/>
    </row>
    <row r="21" spans="1:16" x14ac:dyDescent="0.2">
      <c r="A21" s="17" t="s">
        <v>59</v>
      </c>
      <c r="B21" s="25">
        <f>'Historical IS'!B21 / 'Historical IS'!$B$3</f>
        <v>9.5129375951293754E-4</v>
      </c>
      <c r="C21" s="25">
        <f>'Historical IS'!C21 / 'Historical IS'!$C$3</f>
        <v>1.0404473923787229E-3</v>
      </c>
      <c r="D21" s="51">
        <f>'Historical IS'!D21 / 'Historical IS'!$D$3</f>
        <v>3.6458716947779333E-3</v>
      </c>
      <c r="E21" s="25">
        <f>'Historical IS'!E21 / 'Historical IS'!$E$3</f>
        <v>1.1015469190786687E-2</v>
      </c>
      <c r="F21" s="25">
        <f>'Historical IS'!F21 / 'Historical IS'!$F$3</f>
        <v>1.6061009315180674E-2</v>
      </c>
      <c r="G21" s="25">
        <f t="shared" si="3"/>
        <v>6.542818270527391E-3</v>
      </c>
    </row>
    <row r="22" spans="1:16" x14ac:dyDescent="0.2">
      <c r="A22" s="17" t="s">
        <v>60</v>
      </c>
      <c r="B22" s="25">
        <f>'Historical IS'!B22 / 'Historical IS'!$B$3</f>
        <v>2.3718924403855909E-2</v>
      </c>
      <c r="C22" s="25">
        <f>'Historical IS'!C22 / 'Historical IS'!$C$3</f>
        <v>6.8929639745090388E-3</v>
      </c>
      <c r="D22" s="51">
        <f>'Historical IS'!D22 / 'Historical IS'!$D$3</f>
        <v>2.3446514939480987E-3</v>
      </c>
      <c r="E22" s="25">
        <f>'Historical IS'!E22 / 'Historical IS'!$E$3</f>
        <v>1.6120198815785395E-3</v>
      </c>
      <c r="F22" s="25">
        <f>'Historical IS'!F22 / 'Historical IS'!$F$3</f>
        <v>3.582761797522776E-3</v>
      </c>
      <c r="G22" s="25">
        <f t="shared" si="3"/>
        <v>7.6302643102828718E-3</v>
      </c>
    </row>
    <row r="23" spans="1:16" x14ac:dyDescent="0.2">
      <c r="A23" s="17" t="s">
        <v>61</v>
      </c>
      <c r="B23" s="25">
        <f>'Historical IS'!B23 / 'Historical IS'!$B$3</f>
        <v>-2.6636225266362251E-2</v>
      </c>
      <c r="C23" s="25">
        <f>'Historical IS'!C23 / 'Historical IS'!$C$3</f>
        <v>-3.3442951897887522E-3</v>
      </c>
      <c r="D23" s="51">
        <f>'Historical IS'!D23 / 'Historical IS'!$D$3</f>
        <v>7.7336672313471307E-4</v>
      </c>
      <c r="E23" s="25">
        <f>'Historical IS'!E23 / 'Historical IS'!$E$3</f>
        <v>1.1180804563256281E-2</v>
      </c>
      <c r="F23" s="25">
        <f>'Historical IS'!F23 / 'Historical IS'!$F$3</f>
        <v>1.9592588801310266E-2</v>
      </c>
      <c r="G23" s="25">
        <f t="shared" si="3"/>
        <v>3.132479263100514E-4</v>
      </c>
    </row>
    <row r="24" spans="1:16" x14ac:dyDescent="0.2">
      <c r="A24" s="45" t="s">
        <v>62</v>
      </c>
      <c r="B24" s="25"/>
      <c r="C24" s="25"/>
      <c r="D24" s="51"/>
      <c r="E24" s="25"/>
      <c r="F24" s="25"/>
      <c r="G24" s="25"/>
    </row>
    <row r="25" spans="1:16" x14ac:dyDescent="0.2">
      <c r="A25" s="1"/>
      <c r="B25" s="25"/>
      <c r="C25" s="25"/>
      <c r="D25" s="51"/>
      <c r="E25" s="25"/>
      <c r="F25" s="25"/>
      <c r="G25" s="25"/>
    </row>
    <row r="26" spans="1:16" ht="16" x14ac:dyDescent="0.2">
      <c r="A26" s="34" t="s">
        <v>63</v>
      </c>
      <c r="B26" s="25"/>
      <c r="C26" s="25"/>
      <c r="D26" s="51"/>
      <c r="E26" s="25"/>
      <c r="F26" s="25"/>
      <c r="G26" s="25"/>
    </row>
    <row r="27" spans="1:16" x14ac:dyDescent="0.2">
      <c r="A27" s="17" t="s">
        <v>64</v>
      </c>
      <c r="B27" s="25">
        <f>'Historical IS'!B27 / 'Historical IS'!$B$3</f>
        <v>3.6593099949264331E-2</v>
      </c>
      <c r="C27" s="25">
        <f>'Historical IS'!C27 / 'Historical IS'!$C$3</f>
        <v>0.11784924660461141</v>
      </c>
      <c r="D27" s="51">
        <f>'Historical IS'!D27 / 'Historical IS'!$D$3</f>
        <v>0.16840981070928776</v>
      </c>
      <c r="E27" s="25">
        <f>'Historical IS'!E27 / 'Historical IS'!$E$3</f>
        <v>0.10305560435245369</v>
      </c>
      <c r="F27" s="25">
        <f>'Historical IS'!F27 / 'Historical IS'!$F$3</f>
        <v>9.2025795884942169E-2</v>
      </c>
      <c r="G27" s="25">
        <f t="shared" si="3"/>
        <v>0.10358671150011187</v>
      </c>
    </row>
    <row r="28" spans="1:16" x14ac:dyDescent="0.2">
      <c r="A28" s="52" t="s">
        <v>65</v>
      </c>
      <c r="B28" s="25"/>
      <c r="C28" s="25"/>
      <c r="D28" s="51"/>
      <c r="E28" s="25"/>
      <c r="F28" s="25"/>
      <c r="G28" s="25"/>
    </row>
    <row r="29" spans="1:16" x14ac:dyDescent="0.2">
      <c r="A29" s="17" t="s">
        <v>66</v>
      </c>
      <c r="B29" s="25">
        <f>'Historical IS'!B29 / 'Historical IS'!$B$3</f>
        <v>9.2592592592592587E-3</v>
      </c>
      <c r="C29" s="25">
        <f>'Historical IS'!C29 / 'Historical IS'!$C$3</f>
        <v>1.2987012987012988E-2</v>
      </c>
      <c r="D29" s="51">
        <f>'Historical IS'!D29 / 'Historical IS'!$D$3</f>
        <v>1.3896049691880878E-2</v>
      </c>
      <c r="E29" s="25">
        <f>'Historical IS'!E29 / 'Historical IS'!$E$3</f>
        <v>-5.1677637357527409E-2</v>
      </c>
      <c r="F29" s="25">
        <f>'Historical IS'!F29 / 'Historical IS'!$F$3</f>
        <v>1.8804381205855255E-2</v>
      </c>
      <c r="G29" s="25">
        <f t="shared" si="3"/>
        <v>6.538131572961937E-4</v>
      </c>
    </row>
    <row r="30" spans="1:16" ht="15" customHeight="1" x14ac:dyDescent="0.2">
      <c r="A30" s="1"/>
      <c r="B30" s="25"/>
      <c r="C30" s="25"/>
      <c r="D30" s="51"/>
      <c r="E30" s="25"/>
      <c r="F30" s="25"/>
      <c r="G30" s="25"/>
      <c r="I30" s="101" t="s">
        <v>369</v>
      </c>
      <c r="J30" s="101"/>
      <c r="K30" s="101"/>
      <c r="L30" s="101"/>
      <c r="M30" s="101"/>
      <c r="N30" s="101"/>
      <c r="O30" s="101"/>
      <c r="P30" s="101"/>
    </row>
    <row r="31" spans="1:16" ht="16" x14ac:dyDescent="0.2">
      <c r="A31" s="34" t="s">
        <v>67</v>
      </c>
      <c r="B31" s="25"/>
      <c r="C31" s="25"/>
      <c r="D31" s="51"/>
      <c r="E31" s="25"/>
      <c r="F31" s="25"/>
      <c r="G31" s="25"/>
      <c r="I31" s="101"/>
      <c r="J31" s="101"/>
      <c r="K31" s="101"/>
      <c r="L31" s="101"/>
      <c r="M31" s="101"/>
      <c r="N31" s="101"/>
      <c r="O31" s="101"/>
      <c r="P31" s="101"/>
    </row>
    <row r="32" spans="1:16" x14ac:dyDescent="0.2">
      <c r="A32" s="45" t="s">
        <v>68</v>
      </c>
      <c r="B32" s="25">
        <f>'Historical IS'!B32 / 'Historical IS'!$B$3</f>
        <v>2.2862760020294266E-2</v>
      </c>
      <c r="C32" s="25">
        <f>'Historical IS'!C32 / 'Historical IS'!$C$3</f>
        <v>0.10263270349107259</v>
      </c>
      <c r="D32" s="51">
        <f>'Historical IS'!D32 / 'Historical IS'!$D$3</f>
        <v>0.15446465836831896</v>
      </c>
      <c r="E32" s="25">
        <f>'Historical IS'!E32 / 'Historical IS'!$E$3</f>
        <v>0.15499157822946483</v>
      </c>
      <c r="F32" s="25">
        <f>'Historical IS'!F32 / 'Historical IS'!$F$3</f>
        <v>7.2985976046678266E-2</v>
      </c>
      <c r="G32" s="25">
        <f t="shared" si="3"/>
        <v>0.10158753523116577</v>
      </c>
      <c r="I32" s="101"/>
      <c r="J32" s="101"/>
      <c r="K32" s="101"/>
      <c r="L32" s="101"/>
      <c r="M32" s="101"/>
      <c r="N32" s="101"/>
      <c r="O32" s="101"/>
      <c r="P32" s="101"/>
    </row>
    <row r="33" spans="1:16" x14ac:dyDescent="0.2">
      <c r="A33" s="52" t="s">
        <v>69</v>
      </c>
      <c r="B33" s="25"/>
      <c r="C33" s="25"/>
      <c r="D33" s="51"/>
      <c r="E33" s="25"/>
      <c r="F33" s="25"/>
      <c r="G33" s="25"/>
      <c r="I33" s="101"/>
      <c r="J33" s="101"/>
      <c r="K33" s="101"/>
      <c r="L33" s="101"/>
      <c r="M33" s="101"/>
      <c r="N33" s="101"/>
      <c r="O33" s="101"/>
      <c r="P33" s="101"/>
    </row>
    <row r="34" spans="1:16" x14ac:dyDescent="0.2">
      <c r="A34" s="1"/>
      <c r="B34" s="25"/>
      <c r="C34" s="25"/>
      <c r="D34" s="51"/>
      <c r="E34" s="25"/>
      <c r="F34" s="25"/>
      <c r="G34" s="25"/>
      <c r="I34" s="101"/>
      <c r="J34" s="101"/>
      <c r="K34" s="101"/>
      <c r="L34" s="101"/>
      <c r="M34" s="101"/>
      <c r="N34" s="101"/>
      <c r="O34" s="101"/>
      <c r="P34" s="101"/>
    </row>
    <row r="35" spans="1:16" ht="16" x14ac:dyDescent="0.2">
      <c r="A35" s="34" t="s">
        <v>70</v>
      </c>
      <c r="B35" s="25"/>
      <c r="C35" s="25"/>
      <c r="D35" s="51"/>
      <c r="E35" s="25"/>
      <c r="F35" s="25"/>
      <c r="G35" s="25"/>
      <c r="I35" s="85"/>
      <c r="J35" s="85"/>
      <c r="K35" s="85"/>
      <c r="L35" s="85"/>
      <c r="M35" s="85"/>
      <c r="N35" s="85"/>
      <c r="O35" s="85"/>
      <c r="P35" s="85"/>
    </row>
    <row r="36" spans="1:16" x14ac:dyDescent="0.2">
      <c r="A36" s="17" t="s">
        <v>71</v>
      </c>
      <c r="B36" s="25">
        <f>'Historical IS'!B36 / 'Historical IS'!$B$3</f>
        <v>8.8755707762557076E-2</v>
      </c>
      <c r="C36" s="25">
        <f>'Historical IS'!C36 / 'Historical IS'!$C$3</f>
        <v>5.4976497036582875E-2</v>
      </c>
      <c r="D36" s="51">
        <f>'Historical IS'!D36 / 'Historical IS'!$D$3</f>
        <v>3.8422822911296062E-2</v>
      </c>
      <c r="E36" s="25">
        <f>'Historical IS'!E36 / 'Historical IS'!$E$3</f>
        <v>3.279840451365567E-2</v>
      </c>
      <c r="F36" s="25">
        <f>'Historical IS'!F36 / 'Historical IS'!$F$3</f>
        <v>3.2889753301259088E-2</v>
      </c>
      <c r="G36" s="25">
        <f t="shared" si="3"/>
        <v>4.956863710507016E-2</v>
      </c>
      <c r="I36" s="85"/>
      <c r="J36" s="85"/>
      <c r="K36" s="85"/>
      <c r="L36" s="85"/>
      <c r="M36" s="85"/>
      <c r="N36" s="85"/>
      <c r="O36" s="85"/>
      <c r="P36" s="85"/>
    </row>
    <row r="37" spans="1:16" x14ac:dyDescent="0.2">
      <c r="A37" s="17" t="s">
        <v>72</v>
      </c>
      <c r="B37" s="25">
        <f>'Historical IS'!B37 / 'Historical IS'!$B$3</f>
        <v>0.10302511415525115</v>
      </c>
      <c r="C37" s="25">
        <f>'Historical IS'!C37 / 'Historical IS'!$C$3</f>
        <v>6.2909908403470632E-2</v>
      </c>
      <c r="D37" s="51">
        <f>'Historical IS'!D37 / 'Historical IS'!$D$3</f>
        <v>4.2657926395129019E-2</v>
      </c>
      <c r="E37" s="25">
        <f>'Historical IS'!E37 / 'Historical IS'!$E$3</f>
        <v>3.6012110816033401E-2</v>
      </c>
      <c r="F37" s="25">
        <f>'Historical IS'!F37 / 'Historical IS'!$F$3</f>
        <v>3.6001637833964581E-2</v>
      </c>
      <c r="G37" s="25">
        <f t="shared" si="3"/>
        <v>5.6121339520769753E-2</v>
      </c>
      <c r="I37" s="85"/>
      <c r="J37" s="85"/>
      <c r="K37" s="85"/>
      <c r="L37" s="85"/>
      <c r="M37" s="85"/>
      <c r="N37" s="85"/>
      <c r="O37" s="85"/>
      <c r="P37" s="85"/>
    </row>
    <row r="38" spans="1:16" x14ac:dyDescent="0.2">
      <c r="A38" s="17" t="s">
        <v>73</v>
      </c>
      <c r="B38" s="25"/>
      <c r="C38" s="25"/>
      <c r="D38" s="51"/>
      <c r="E38" s="25"/>
      <c r="F38" s="25"/>
      <c r="G38" s="25"/>
      <c r="I38" s="85"/>
      <c r="J38" s="85"/>
      <c r="K38" s="85"/>
      <c r="L38" s="85"/>
      <c r="M38" s="85"/>
      <c r="N38" s="85"/>
      <c r="O38" s="85"/>
      <c r="P38" s="85"/>
    </row>
    <row r="39" spans="1:16" x14ac:dyDescent="0.2">
      <c r="A39" s="17" t="s">
        <v>74</v>
      </c>
      <c r="B39" s="25"/>
      <c r="C39" s="25"/>
      <c r="D39" s="51"/>
      <c r="E39" s="25"/>
      <c r="F39" s="25"/>
      <c r="G39" s="25"/>
      <c r="I39" s="85"/>
      <c r="J39" s="85"/>
      <c r="K39" s="85"/>
      <c r="L39" s="85"/>
      <c r="M39" s="85"/>
      <c r="N39" s="85"/>
      <c r="O39" s="85"/>
      <c r="P39" s="85"/>
    </row>
    <row r="40" spans="1:16" x14ac:dyDescent="0.2">
      <c r="A40" s="20"/>
      <c r="B40" s="25"/>
      <c r="C40" s="25"/>
      <c r="D40" s="51"/>
      <c r="E40" s="25"/>
      <c r="F40" s="25"/>
      <c r="G40" s="25"/>
      <c r="I40" s="85"/>
      <c r="J40" s="85"/>
      <c r="K40" s="85"/>
      <c r="L40" s="85"/>
      <c r="M40" s="85"/>
      <c r="N40" s="85"/>
      <c r="O40" s="85"/>
      <c r="P40" s="85"/>
    </row>
    <row r="41" spans="1:16" x14ac:dyDescent="0.2">
      <c r="A41" s="55" t="s">
        <v>91</v>
      </c>
      <c r="B41" s="25">
        <f>'Historical IS'!B42 / 'Historical IS'!$B$3</f>
        <v>5.2953222474891183E-2</v>
      </c>
      <c r="C41" s="25">
        <f>'Historical IS'!C42 / 'Historical IS'!$C$3</f>
        <v>0.10149702783120707</v>
      </c>
      <c r="D41" s="51">
        <f>'Historical IS'!D42 / 'Historical IS'!$D$3</f>
        <v>0.14039197608113249</v>
      </c>
      <c r="E41" s="25">
        <f>'Historical IS'!E42 / 'Historical IS'!$E$3</f>
        <v>7.6943201536351299E-2</v>
      </c>
      <c r="F41" s="25">
        <f>'Historical IS'!F42 / 'Historical IS'!$F$3</f>
        <v>6.06612788637114E-2</v>
      </c>
      <c r="G41" s="25">
        <f t="shared" si="3"/>
        <v>8.6489341357458699E-2</v>
      </c>
    </row>
    <row r="47" spans="1:16" x14ac:dyDescent="0.2">
      <c r="A47" s="4" t="s">
        <v>355</v>
      </c>
      <c r="B47" s="6">
        <f>G27-G29</f>
        <v>0.10293289834281567</v>
      </c>
    </row>
  </sheetData>
  <mergeCells count="1">
    <mergeCell ref="I30:P3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F32E8-CD38-9D42-AA9B-B227A1398143}">
  <dimension ref="A1:N42"/>
  <sheetViews>
    <sheetView topLeftCell="K17" zoomScale="150" workbookViewId="0">
      <selection activeCell="I38" sqref="I38"/>
    </sheetView>
  </sheetViews>
  <sheetFormatPr baseColWidth="10" defaultRowHeight="15" x14ac:dyDescent="0.2"/>
  <cols>
    <col min="1" max="1" width="39" customWidth="1"/>
    <col min="9" max="9" width="29.83203125" customWidth="1"/>
  </cols>
  <sheetData>
    <row r="1" spans="1:14" x14ac:dyDescent="0.2">
      <c r="A1" s="88"/>
      <c r="B1" s="67">
        <v>2020</v>
      </c>
      <c r="C1" s="67">
        <v>2021</v>
      </c>
      <c r="D1" s="67">
        <v>2022</v>
      </c>
      <c r="E1" s="67">
        <v>2023</v>
      </c>
      <c r="F1" s="67">
        <v>2024</v>
      </c>
    </row>
    <row r="2" spans="1:14" ht="16" x14ac:dyDescent="0.2">
      <c r="A2" s="47" t="s">
        <v>44</v>
      </c>
      <c r="B2" s="25"/>
      <c r="C2" s="25"/>
      <c r="D2" s="25"/>
      <c r="E2" s="25"/>
      <c r="F2" s="25"/>
    </row>
    <row r="3" spans="1:14" x14ac:dyDescent="0.2">
      <c r="A3" s="48" t="s">
        <v>45</v>
      </c>
      <c r="B3" s="25">
        <v>1</v>
      </c>
      <c r="C3" s="25">
        <f>'Historical IS'!C3 / 'Historical IS'!$B3</f>
        <v>1.7067161339421613</v>
      </c>
      <c r="D3" s="25">
        <f>'Historical IS'!D3 / 'Historical IS'!$B3</f>
        <v>2.5831430745814306</v>
      </c>
      <c r="E3" s="25">
        <f>'Historical IS'!E3 / 'Historical IS'!$B3</f>
        <v>3.0686516996448505</v>
      </c>
      <c r="F3" s="25">
        <f>'Historical IS'!F3 / 'Historical IS'!$B3</f>
        <v>3.0977295788939623</v>
      </c>
    </row>
    <row r="4" spans="1:14" x14ac:dyDescent="0.2">
      <c r="A4" s="5"/>
      <c r="B4" s="25"/>
      <c r="C4" s="25"/>
      <c r="D4" s="25"/>
      <c r="E4" s="25"/>
      <c r="F4" s="25"/>
      <c r="I4" s="36"/>
      <c r="J4" s="43">
        <v>2020</v>
      </c>
      <c r="K4" s="43">
        <v>2021</v>
      </c>
      <c r="L4" s="43">
        <v>2022</v>
      </c>
      <c r="M4" s="43">
        <v>2023</v>
      </c>
      <c r="N4" s="43">
        <v>2024</v>
      </c>
    </row>
    <row r="5" spans="1:14" ht="16" x14ac:dyDescent="0.2">
      <c r="A5" s="47" t="s">
        <v>46</v>
      </c>
      <c r="B5" s="25"/>
      <c r="C5" s="25"/>
      <c r="D5" s="25"/>
      <c r="E5" s="25"/>
      <c r="F5" s="25"/>
      <c r="I5" s="56" t="s">
        <v>45</v>
      </c>
      <c r="J5" s="25">
        <f>B3</f>
        <v>1</v>
      </c>
      <c r="K5" s="25">
        <f>C3</f>
        <v>1.7067161339421613</v>
      </c>
      <c r="L5" s="25">
        <f>D3</f>
        <v>2.5831430745814306</v>
      </c>
      <c r="M5" s="25">
        <f>E3</f>
        <v>3.0686516996448505</v>
      </c>
      <c r="N5" s="25">
        <f>F3</f>
        <v>3.0977295788939623</v>
      </c>
    </row>
    <row r="6" spans="1:14" x14ac:dyDescent="0.2">
      <c r="A6" s="48" t="s">
        <v>47</v>
      </c>
      <c r="B6" s="25">
        <v>1</v>
      </c>
      <c r="C6" s="25">
        <f>'Historical IS'!C6 / 'Historical IS'!$B6</f>
        <v>1.6147514655103188</v>
      </c>
      <c r="D6" s="25">
        <f>'Historical IS'!D6 / 'Historical IS'!$B6</f>
        <v>2.4335099975909418</v>
      </c>
      <c r="E6" s="25">
        <f>'Historical IS'!E6 / 'Historical IS'!$B6</f>
        <v>3.1764635027704169</v>
      </c>
      <c r="F6" s="25">
        <f>'Historical IS'!F6 / 'Historical IS'!$B6</f>
        <v>3.2217136432988034</v>
      </c>
      <c r="I6" s="56" t="s">
        <v>56</v>
      </c>
      <c r="J6" s="25">
        <f>B17</f>
        <v>1</v>
      </c>
      <c r="K6" s="25">
        <f>C17</f>
        <v>3.2713139418254764</v>
      </c>
      <c r="L6" s="25">
        <f>D17</f>
        <v>6.8485456369107318</v>
      </c>
      <c r="M6" s="25">
        <f>E17</f>
        <v>4.4588766298896694</v>
      </c>
      <c r="N6" s="25">
        <f>F17</f>
        <v>3.5486459378134403</v>
      </c>
    </row>
    <row r="7" spans="1:14" x14ac:dyDescent="0.2">
      <c r="A7" s="48" t="s">
        <v>48</v>
      </c>
      <c r="B7" s="25">
        <v>1</v>
      </c>
      <c r="C7" s="25">
        <f>'Historical IS'!C7 / 'Historical IS'!$B7</f>
        <v>2.0521870286576167</v>
      </c>
      <c r="D7" s="25">
        <f>'Historical IS'!D7 / 'Historical IS'!$B7</f>
        <v>3.1452488687782805</v>
      </c>
      <c r="E7" s="25">
        <f>'Historical IS'!E7 / 'Historical IS'!$B7</f>
        <v>2.6636500754147812</v>
      </c>
      <c r="F7" s="25">
        <f>'Historical IS'!F7 / 'Historical IS'!$B7</f>
        <v>2.6319758672699849</v>
      </c>
    </row>
    <row r="8" spans="1:14" x14ac:dyDescent="0.2">
      <c r="A8" s="49" t="s">
        <v>49</v>
      </c>
      <c r="B8" s="25">
        <f>'Historical IS'!$B8/'Historical IS'!$B8</f>
        <v>1</v>
      </c>
      <c r="C8" s="25">
        <f>'Historical IS'!C8 / 'Historical IS'!$B8</f>
        <v>1.2024184849944926</v>
      </c>
      <c r="D8" s="25">
        <f>'Historical IS'!D8 / 'Historical IS'!$B8</f>
        <v>1.2176053659343997</v>
      </c>
      <c r="E8" s="25">
        <f>'Historical IS'!E8 / 'Historical IS'!$B8</f>
        <v>0.86801968292945508</v>
      </c>
      <c r="F8" s="25">
        <f>'Historical IS'!F8 / 'Historical IS'!$B8</f>
        <v>0.84964674940094875</v>
      </c>
    </row>
    <row r="9" spans="1:14" x14ac:dyDescent="0.2">
      <c r="A9" s="5"/>
      <c r="B9" s="25"/>
      <c r="C9" s="25"/>
      <c r="D9" s="25"/>
      <c r="E9" s="25"/>
      <c r="F9" s="25"/>
      <c r="I9" s="101" t="s">
        <v>371</v>
      </c>
      <c r="J9" s="101"/>
      <c r="K9" s="101"/>
      <c r="L9" s="101"/>
      <c r="M9" s="101"/>
      <c r="N9" s="101"/>
    </row>
    <row r="10" spans="1:14" ht="16" x14ac:dyDescent="0.2">
      <c r="A10" s="47" t="s">
        <v>50</v>
      </c>
      <c r="B10" s="25"/>
      <c r="C10" s="25"/>
      <c r="D10" s="25"/>
      <c r="E10" s="25"/>
      <c r="F10" s="25"/>
      <c r="I10" s="101"/>
      <c r="J10" s="101"/>
      <c r="K10" s="101"/>
      <c r="L10" s="101"/>
      <c r="M10" s="101"/>
      <c r="N10" s="101"/>
    </row>
    <row r="11" spans="1:14" x14ac:dyDescent="0.2">
      <c r="A11" s="50" t="s">
        <v>51</v>
      </c>
      <c r="B11" s="25">
        <v>1</v>
      </c>
      <c r="C11" s="25">
        <f>'Historical IS'!C11 / 'Historical IS'!$B11</f>
        <v>1.739101274312542</v>
      </c>
      <c r="D11" s="25">
        <f>'Historical IS'!D11 / 'Historical IS'!$B11</f>
        <v>2.0623742454728369</v>
      </c>
      <c r="E11" s="25">
        <f>'Historical IS'!E11 / 'Historical IS'!$B11</f>
        <v>2.6619718309859155</v>
      </c>
      <c r="F11" s="25">
        <f>'Historical IS'!F11 / 'Historical IS'!$B11</f>
        <v>3.0449362843729042</v>
      </c>
      <c r="I11" s="101"/>
      <c r="J11" s="101"/>
      <c r="K11" s="101"/>
      <c r="L11" s="101"/>
      <c r="M11" s="101"/>
      <c r="N11" s="101"/>
    </row>
    <row r="12" spans="1:14" x14ac:dyDescent="0.2">
      <c r="A12" s="50" t="s">
        <v>52</v>
      </c>
      <c r="B12" s="25">
        <v>1</v>
      </c>
      <c r="C12" s="25">
        <f>'Historical IS'!C12 / 'Historical IS'!$B12</f>
        <v>1.436248012718601</v>
      </c>
      <c r="D12" s="25">
        <f>'Historical IS'!D12 / 'Historical IS'!$B12</f>
        <v>1.2546899841017487</v>
      </c>
      <c r="E12" s="25">
        <f>'Historical IS'!E12 / 'Historical IS'!$B12</f>
        <v>1.5262321144674087</v>
      </c>
      <c r="F12" s="25">
        <f>'Historical IS'!F12 / 'Historical IS'!$B12</f>
        <v>1.6375198728139904</v>
      </c>
      <c r="I12" s="101"/>
      <c r="J12" s="101"/>
      <c r="K12" s="101"/>
      <c r="L12" s="101"/>
      <c r="M12" s="101"/>
      <c r="N12" s="101"/>
    </row>
    <row r="13" spans="1:14" x14ac:dyDescent="0.2">
      <c r="A13" s="50" t="s">
        <v>53</v>
      </c>
      <c r="B13" s="25">
        <v>0</v>
      </c>
      <c r="C13" s="24" t="str">
        <f>IFERROR('Historical IS'!C13 / 'Historical IS'!$B13, "N/A")</f>
        <v>N/A</v>
      </c>
      <c r="D13" s="24" t="str">
        <f>IFERROR('Historical IS'!D13 / 'Historical IS'!$B13, "N/A")</f>
        <v>N/A</v>
      </c>
      <c r="E13" s="24" t="str">
        <f>IFERROR('Historical IS'!E13 / 'Historical IS'!$B13, "N/A")</f>
        <v>N/A</v>
      </c>
      <c r="F13" s="24" t="str">
        <f>IFERROR('Historical IS'!F13 / 'Historical IS'!$B13, "N/A")</f>
        <v>N/A</v>
      </c>
      <c r="I13" s="101"/>
      <c r="J13" s="101"/>
      <c r="K13" s="101"/>
      <c r="L13" s="101"/>
      <c r="M13" s="101"/>
      <c r="N13" s="101"/>
    </row>
    <row r="14" spans="1:14" x14ac:dyDescent="0.2">
      <c r="A14" s="48" t="s">
        <v>54</v>
      </c>
      <c r="B14" s="25">
        <v>1</v>
      </c>
      <c r="C14" s="25">
        <f>'Historical IS'!C14 / 'Historical IS'!$B14</f>
        <v>1.5336496980155305</v>
      </c>
      <c r="D14" s="25">
        <f>'Historical IS'!D14 / 'Historical IS'!$B14</f>
        <v>1.5524158757549611</v>
      </c>
      <c r="E14" s="25">
        <f>'Historical IS'!E14 / 'Historical IS'!$B14</f>
        <v>1.8915012942191545</v>
      </c>
      <c r="F14" s="25">
        <f>'Historical IS'!F14 / 'Historical IS'!$B14</f>
        <v>2.237704918032787</v>
      </c>
      <c r="I14" s="101"/>
      <c r="J14" s="101"/>
      <c r="K14" s="101"/>
      <c r="L14" s="101"/>
      <c r="M14" s="101"/>
      <c r="N14" s="101"/>
    </row>
    <row r="15" spans="1:14" x14ac:dyDescent="0.2">
      <c r="A15" s="5"/>
      <c r="B15" s="25"/>
      <c r="C15" s="25"/>
      <c r="D15" s="25"/>
      <c r="E15" s="25"/>
      <c r="F15" s="25"/>
    </row>
    <row r="16" spans="1:14" ht="16" x14ac:dyDescent="0.2">
      <c r="A16" s="47" t="s">
        <v>55</v>
      </c>
      <c r="B16" s="25"/>
      <c r="C16" s="25"/>
      <c r="D16" s="25"/>
      <c r="E16" s="25"/>
      <c r="F16" s="25"/>
    </row>
    <row r="17" spans="1:14" x14ac:dyDescent="0.2">
      <c r="A17" s="50" t="s">
        <v>56</v>
      </c>
      <c r="B17" s="25">
        <v>1</v>
      </c>
      <c r="C17" s="25">
        <f>'Historical IS'!C17 / 'Historical IS'!$B17</f>
        <v>3.2713139418254764</v>
      </c>
      <c r="D17" s="25">
        <f>'Historical IS'!D17 / 'Historical IS'!$B17</f>
        <v>6.8485456369107318</v>
      </c>
      <c r="E17" s="25">
        <f>'Historical IS'!E17 / 'Historical IS'!$B17</f>
        <v>4.4588766298896694</v>
      </c>
      <c r="F17" s="25">
        <f>'Historical IS'!F17 / 'Historical IS'!$B17</f>
        <v>3.5486459378134403</v>
      </c>
    </row>
    <row r="18" spans="1:14" x14ac:dyDescent="0.2">
      <c r="A18" s="49" t="s">
        <v>57</v>
      </c>
      <c r="B18" s="25">
        <f>'Historical IS'!$B18/'Historical IS'!$B18</f>
        <v>1</v>
      </c>
      <c r="C18" s="25">
        <f>'Historical IS'!C18 / 'Historical IS'!$B18</f>
        <v>1.9167299574470231</v>
      </c>
      <c r="D18" s="25">
        <f>'Historical IS'!D18 / 'Historical IS'!$B18</f>
        <v>2.6512451852008692</v>
      </c>
      <c r="E18" s="25">
        <f>'Historical IS'!E18 / 'Historical IS'!$B18</f>
        <v>1.453040966503941</v>
      </c>
      <c r="F18" s="25">
        <f>'Historical IS'!F18 / 'Historical IS'!$B18</f>
        <v>1.1455635003360749</v>
      </c>
    </row>
    <row r="19" spans="1:14" x14ac:dyDescent="0.2">
      <c r="A19" s="5"/>
      <c r="B19" s="25"/>
      <c r="C19" s="25"/>
      <c r="D19" s="25"/>
      <c r="E19" s="25"/>
      <c r="F19" s="25"/>
    </row>
    <row r="20" spans="1:14" ht="16" x14ac:dyDescent="0.2">
      <c r="A20" s="47" t="s">
        <v>58</v>
      </c>
      <c r="B20" s="25"/>
      <c r="C20" s="25"/>
      <c r="D20" s="25"/>
      <c r="E20" s="25"/>
      <c r="F20" s="25"/>
    </row>
    <row r="21" spans="1:14" x14ac:dyDescent="0.2">
      <c r="A21" s="50" t="s">
        <v>59</v>
      </c>
      <c r="B21" s="25">
        <v>1</v>
      </c>
      <c r="C21" s="25">
        <f>'Historical IS'!C21 / 'Historical IS'!$B21</f>
        <v>1.8666666666666667</v>
      </c>
      <c r="D21" s="25">
        <f>'Historical IS'!D21 / 'Historical IS'!$B21</f>
        <v>9.9</v>
      </c>
      <c r="E21" s="25">
        <f>'Historical IS'!E21 / 'Historical IS'!$B21</f>
        <v>35.533333333333331</v>
      </c>
      <c r="F21" s="25">
        <f>'Historical IS'!F21 / 'Historical IS'!$B21</f>
        <v>52.3</v>
      </c>
      <c r="I21" s="36"/>
      <c r="J21" s="43">
        <v>2020</v>
      </c>
      <c r="K21" s="43">
        <v>2021</v>
      </c>
      <c r="L21" s="43">
        <v>2022</v>
      </c>
      <c r="M21" s="43">
        <v>2023</v>
      </c>
      <c r="N21" s="43">
        <v>2024</v>
      </c>
    </row>
    <row r="22" spans="1:14" x14ac:dyDescent="0.2">
      <c r="A22" s="50" t="s">
        <v>60</v>
      </c>
      <c r="B22" s="25">
        <v>1</v>
      </c>
      <c r="C22" s="25">
        <f>'Historical IS'!C22 / 'Historical IS'!$B22</f>
        <v>0.49598930481283421</v>
      </c>
      <c r="D22" s="25">
        <f>'Historical IS'!D22 / 'Historical IS'!$B22</f>
        <v>0.25534759358288772</v>
      </c>
      <c r="E22" s="25">
        <f>'Historical IS'!E22 / 'Historical IS'!$B22</f>
        <v>0.20855614973262032</v>
      </c>
      <c r="F22" s="25">
        <f>'Historical IS'!F22 / 'Historical IS'!$B22</f>
        <v>0.46791443850267378</v>
      </c>
      <c r="I22" s="56" t="s">
        <v>45</v>
      </c>
      <c r="J22" s="25">
        <f>B3</f>
        <v>1</v>
      </c>
      <c r="K22" s="25">
        <f t="shared" ref="K22:N22" si="0">C3</f>
        <v>1.7067161339421613</v>
      </c>
      <c r="L22" s="25">
        <f t="shared" si="0"/>
        <v>2.5831430745814306</v>
      </c>
      <c r="M22" s="25">
        <f t="shared" si="0"/>
        <v>3.0686516996448505</v>
      </c>
      <c r="N22" s="25">
        <f t="shared" si="0"/>
        <v>3.0977295788939623</v>
      </c>
    </row>
    <row r="23" spans="1:14" x14ac:dyDescent="0.2">
      <c r="A23" s="50" t="s">
        <v>61</v>
      </c>
      <c r="B23" s="25">
        <v>1</v>
      </c>
      <c r="C23" s="25">
        <f>'Historical IS'!C23 / 'Historical IS'!$B23</f>
        <v>0.21428571428571427</v>
      </c>
      <c r="D23" s="25">
        <f>'Historical IS'!D23 / 'Historical IS'!$B23</f>
        <v>-7.4999999999999997E-2</v>
      </c>
      <c r="E23" s="25">
        <f>'Historical IS'!E23 / 'Historical IS'!$B23</f>
        <v>-1.2880952380952382</v>
      </c>
      <c r="F23" s="25">
        <f>'Historical IS'!F23 / 'Historical IS'!$B23</f>
        <v>-2.2785714285714285</v>
      </c>
      <c r="I23" s="56" t="s">
        <v>51</v>
      </c>
      <c r="J23" s="25">
        <f>B11</f>
        <v>1</v>
      </c>
      <c r="K23" s="25">
        <f t="shared" ref="K23:N23" si="1">C11</f>
        <v>1.739101274312542</v>
      </c>
      <c r="L23" s="25">
        <f t="shared" si="1"/>
        <v>2.0623742454728369</v>
      </c>
      <c r="M23" s="25">
        <f t="shared" si="1"/>
        <v>2.6619718309859155</v>
      </c>
      <c r="N23" s="25">
        <f t="shared" si="1"/>
        <v>3.0449362843729042</v>
      </c>
    </row>
    <row r="24" spans="1:14" x14ac:dyDescent="0.2">
      <c r="A24" s="48" t="s">
        <v>62</v>
      </c>
      <c r="B24" s="25"/>
      <c r="C24" s="25"/>
      <c r="D24" s="25"/>
      <c r="E24" s="25"/>
      <c r="F24" s="25"/>
      <c r="I24" s="56" t="s">
        <v>52</v>
      </c>
      <c r="J24" s="25">
        <f>B12</f>
        <v>1</v>
      </c>
      <c r="K24" s="25">
        <f t="shared" ref="K24:N24" si="2">C12</f>
        <v>1.436248012718601</v>
      </c>
      <c r="L24" s="25">
        <f t="shared" si="2"/>
        <v>1.2546899841017487</v>
      </c>
      <c r="M24" s="25">
        <f t="shared" si="2"/>
        <v>1.5262321144674087</v>
      </c>
      <c r="N24" s="25">
        <f t="shared" si="2"/>
        <v>1.6375198728139904</v>
      </c>
    </row>
    <row r="25" spans="1:14" x14ac:dyDescent="0.2">
      <c r="A25" s="5"/>
      <c r="B25" s="25"/>
      <c r="C25" s="25"/>
      <c r="D25" s="25"/>
      <c r="E25" s="25"/>
      <c r="F25" s="25"/>
    </row>
    <row r="26" spans="1:14" ht="16" x14ac:dyDescent="0.2">
      <c r="A26" s="47" t="s">
        <v>63</v>
      </c>
      <c r="B26" s="25"/>
      <c r="C26" s="25"/>
      <c r="D26" s="25"/>
      <c r="E26" s="25"/>
      <c r="F26" s="25"/>
    </row>
    <row r="27" spans="1:14" x14ac:dyDescent="0.2">
      <c r="A27" s="50" t="s">
        <v>64</v>
      </c>
      <c r="B27" s="25">
        <v>1</v>
      </c>
      <c r="C27" s="25">
        <f>'Historical IS'!C27 / 'Historical IS'!$B27</f>
        <v>5.4965337954939342</v>
      </c>
      <c r="D27" s="25">
        <f>'Historical IS'!D27 / 'Historical IS'!$B27</f>
        <v>11.888214904679376</v>
      </c>
      <c r="E27" s="25">
        <f>'Historical IS'!E27 / 'Historical IS'!$B27</f>
        <v>8.6421143847486999</v>
      </c>
      <c r="F27" s="25">
        <f>'Historical IS'!F27 / 'Historical IS'!$B27</f>
        <v>7.790294627383016</v>
      </c>
    </row>
    <row r="28" spans="1:14" x14ac:dyDescent="0.2">
      <c r="A28" s="49" t="s">
        <v>65</v>
      </c>
      <c r="B28" s="25">
        <f xml:space="preserve"> 'Historical IS'!$B28/ 'Historical IS'!$B28</f>
        <v>1</v>
      </c>
      <c r="C28" s="25">
        <f>'Historical IS'!C28 / 'Historical IS'!$B28</f>
        <v>3.2205319287530485</v>
      </c>
      <c r="D28" s="25">
        <f>'Historical IS'!D28 / 'Historical IS'!$B28</f>
        <v>4.6022285939213363</v>
      </c>
      <c r="E28" s="25">
        <f>'Historical IS'!E28 / 'Historical IS'!$B28</f>
        <v>2.8162578377242098</v>
      </c>
      <c r="F28" s="25">
        <f>'Historical IS'!F28 / 'Historical IS'!$B28</f>
        <v>2.514840124271625</v>
      </c>
    </row>
    <row r="29" spans="1:14" x14ac:dyDescent="0.2">
      <c r="A29" s="50" t="s">
        <v>66</v>
      </c>
      <c r="B29" s="25">
        <v>1</v>
      </c>
      <c r="C29" s="25">
        <f>'Historical IS'!C29 / 'Historical IS'!$B29</f>
        <v>2.3938356164383561</v>
      </c>
      <c r="D29" s="25">
        <f>'Historical IS'!D29 / 'Historical IS'!$B29</f>
        <v>3.8767123287671232</v>
      </c>
      <c r="E29" s="25">
        <f>'Historical IS'!E29 / 'Historical IS'!$B29</f>
        <v>-17.126712328767123</v>
      </c>
      <c r="F29" s="25">
        <f>'Historical IS'!F29 / 'Historical IS'!$B29</f>
        <v>6.2910958904109586</v>
      </c>
    </row>
    <row r="30" spans="1:14" x14ac:dyDescent="0.2">
      <c r="A30" s="5"/>
      <c r="B30" s="25"/>
      <c r="C30" s="25"/>
      <c r="D30" s="25"/>
      <c r="E30" s="25"/>
      <c r="F30" s="25"/>
      <c r="I30" s="101" t="s">
        <v>370</v>
      </c>
      <c r="J30" s="101"/>
      <c r="K30" s="101"/>
      <c r="L30" s="101"/>
      <c r="M30" s="101"/>
      <c r="N30" s="101"/>
    </row>
    <row r="31" spans="1:14" ht="16" x14ac:dyDescent="0.2">
      <c r="A31" s="47" t="s">
        <v>67</v>
      </c>
      <c r="B31" s="25"/>
      <c r="C31" s="25"/>
      <c r="D31" s="25"/>
      <c r="E31" s="25"/>
      <c r="F31" s="25"/>
      <c r="I31" s="101"/>
      <c r="J31" s="101"/>
      <c r="K31" s="101"/>
      <c r="L31" s="101"/>
      <c r="M31" s="101"/>
      <c r="N31" s="101"/>
    </row>
    <row r="32" spans="1:14" x14ac:dyDescent="0.2">
      <c r="A32" s="48" t="s">
        <v>68</v>
      </c>
      <c r="B32" s="25">
        <v>1</v>
      </c>
      <c r="C32" s="25">
        <f>'Historical IS'!C32 / 'Historical IS'!$B32</f>
        <v>7.6615811373092928</v>
      </c>
      <c r="D32" s="25">
        <f>'Historical IS'!D32 / 'Historical IS'!$B32</f>
        <v>17.452149791955616</v>
      </c>
      <c r="E32" s="25">
        <f>'Historical IS'!E32 / 'Historical IS'!$B32</f>
        <v>20.803051317614425</v>
      </c>
      <c r="F32" s="25">
        <f>'Historical IS'!F32 / 'Historical IS'!$B32</f>
        <v>9.8890429958391124</v>
      </c>
      <c r="I32" s="101"/>
      <c r="J32" s="101"/>
      <c r="K32" s="101"/>
      <c r="L32" s="101"/>
      <c r="M32" s="101"/>
      <c r="N32" s="101"/>
    </row>
    <row r="33" spans="1:14" x14ac:dyDescent="0.2">
      <c r="A33" s="49" t="s">
        <v>69</v>
      </c>
      <c r="B33" s="25"/>
      <c r="C33" s="25"/>
      <c r="D33" s="25"/>
      <c r="E33" s="25"/>
      <c r="F33" s="25"/>
      <c r="I33" s="101"/>
      <c r="J33" s="101"/>
      <c r="K33" s="101"/>
      <c r="L33" s="101"/>
      <c r="M33" s="101"/>
      <c r="N33" s="101"/>
    </row>
    <row r="34" spans="1:14" x14ac:dyDescent="0.2">
      <c r="A34" s="5"/>
      <c r="B34" s="25"/>
      <c r="C34" s="25"/>
      <c r="D34" s="25"/>
      <c r="E34" s="25"/>
      <c r="F34" s="25"/>
      <c r="I34" s="101"/>
      <c r="J34" s="101"/>
      <c r="K34" s="101"/>
      <c r="L34" s="101"/>
      <c r="M34" s="101"/>
      <c r="N34" s="101"/>
    </row>
    <row r="35" spans="1:14" ht="16" x14ac:dyDescent="0.2">
      <c r="A35" s="47" t="s">
        <v>70</v>
      </c>
      <c r="B35" s="25"/>
      <c r="C35" s="25"/>
      <c r="D35" s="25"/>
      <c r="E35" s="25"/>
      <c r="F35" s="25"/>
      <c r="I35" s="101"/>
      <c r="J35" s="101"/>
      <c r="K35" s="101"/>
      <c r="L35" s="101"/>
      <c r="M35" s="101"/>
      <c r="N35" s="101"/>
    </row>
    <row r="36" spans="1:14" x14ac:dyDescent="0.2">
      <c r="A36" s="50" t="s">
        <v>71</v>
      </c>
      <c r="B36" s="25"/>
      <c r="C36" s="25"/>
      <c r="D36" s="25"/>
      <c r="E36" s="25"/>
      <c r="F36" s="25"/>
      <c r="I36" s="101"/>
      <c r="J36" s="101"/>
      <c r="K36" s="101"/>
      <c r="L36" s="101"/>
      <c r="M36" s="101"/>
      <c r="N36" s="101"/>
    </row>
    <row r="37" spans="1:14" x14ac:dyDescent="0.2">
      <c r="A37" s="50" t="s">
        <v>72</v>
      </c>
      <c r="B37" s="25"/>
      <c r="C37" s="25"/>
      <c r="D37" s="25"/>
      <c r="E37" s="25"/>
      <c r="F37" s="25"/>
    </row>
    <row r="38" spans="1:14" x14ac:dyDescent="0.2">
      <c r="A38" s="50" t="s">
        <v>73</v>
      </c>
      <c r="B38" s="25"/>
      <c r="C38" s="25"/>
      <c r="D38" s="25"/>
      <c r="E38" s="25"/>
      <c r="F38" s="25"/>
    </row>
    <row r="39" spans="1:14" x14ac:dyDescent="0.2">
      <c r="A39" s="50" t="s">
        <v>74</v>
      </c>
      <c r="B39" s="25"/>
      <c r="C39" s="25"/>
      <c r="D39" s="25"/>
      <c r="E39" s="25"/>
      <c r="F39" s="25"/>
    </row>
    <row r="40" spans="1:14" x14ac:dyDescent="0.2">
      <c r="A40" s="46"/>
      <c r="B40" s="25"/>
      <c r="C40" s="25"/>
      <c r="D40" s="25"/>
      <c r="E40" s="25"/>
      <c r="F40" s="25"/>
    </row>
    <row r="41" spans="1:14" x14ac:dyDescent="0.2">
      <c r="A41" s="50" t="s">
        <v>88</v>
      </c>
      <c r="B41" s="25">
        <v>1</v>
      </c>
      <c r="C41" s="25" t="e">
        <f>'Historical IS'!#REF! / 'Historical IS'!#REF!</f>
        <v>#REF!</v>
      </c>
      <c r="D41" s="25" t="e">
        <f>'Historical IS'!#REF! / 'Historical IS'!#REF!</f>
        <v>#REF!</v>
      </c>
      <c r="E41" s="25" t="e">
        <f>'Historical IS'!#REF! / 'Historical IS'!#REF!</f>
        <v>#REF!</v>
      </c>
      <c r="F41" s="25" t="e">
        <f>'Historical IS'!#REF! / 'Historical IS'!#REF!</f>
        <v>#REF!</v>
      </c>
    </row>
    <row r="42" spans="1:14" x14ac:dyDescent="0.2">
      <c r="A42" s="46" t="s">
        <v>89</v>
      </c>
      <c r="B42" s="25"/>
      <c r="C42" s="25"/>
      <c r="D42" s="25"/>
      <c r="E42" s="25"/>
      <c r="F42" s="25"/>
    </row>
  </sheetData>
  <mergeCells count="2">
    <mergeCell ref="I30:N36"/>
    <mergeCell ref="I9:N1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445E-624F-A141-A6A1-F3E7B3916FB7}">
  <dimension ref="A1:M50"/>
  <sheetViews>
    <sheetView topLeftCell="G1" zoomScale="139" workbookViewId="0">
      <selection activeCell="L19" sqref="L19"/>
    </sheetView>
  </sheetViews>
  <sheetFormatPr baseColWidth="10" defaultRowHeight="15" x14ac:dyDescent="0.2"/>
  <cols>
    <col min="1" max="1" width="40.1640625" customWidth="1"/>
    <col min="8" max="8" width="30.33203125" customWidth="1"/>
  </cols>
  <sheetData>
    <row r="1" spans="1:13" x14ac:dyDescent="0.2">
      <c r="A1" s="36"/>
      <c r="B1" s="67">
        <v>2020</v>
      </c>
      <c r="C1" s="67">
        <v>2021</v>
      </c>
      <c r="D1" s="67">
        <v>2022</v>
      </c>
      <c r="E1" s="67">
        <v>2023</v>
      </c>
      <c r="F1" s="67">
        <v>2024</v>
      </c>
    </row>
    <row r="2" spans="1:13" ht="16" x14ac:dyDescent="0.2">
      <c r="A2" s="34" t="s">
        <v>0</v>
      </c>
      <c r="B2" s="20"/>
      <c r="C2" s="20"/>
      <c r="D2" s="20"/>
      <c r="E2" s="20"/>
      <c r="F2" s="20"/>
    </row>
    <row r="3" spans="1:13" x14ac:dyDescent="0.2">
      <c r="A3" s="44" t="s">
        <v>1</v>
      </c>
      <c r="B3" s="20"/>
      <c r="C3" s="20"/>
      <c r="D3" s="20"/>
      <c r="E3" s="20"/>
      <c r="F3" s="20"/>
    </row>
    <row r="4" spans="1:13" x14ac:dyDescent="0.2">
      <c r="A4" s="17" t="s">
        <v>2</v>
      </c>
      <c r="B4" s="25">
        <v>1</v>
      </c>
      <c r="C4" s="25">
        <f>IFERROR('Historical BS'!C4 / 'Historical BS'!$B4, "N/A")</f>
        <v>0.90672719768881549</v>
      </c>
      <c r="D4" s="25">
        <f>IFERROR('Historical BS'!D4 / 'Historical BS'!$B4, "N/A")</f>
        <v>0.83847503095336362</v>
      </c>
      <c r="E4" s="25">
        <f>IFERROR('Historical BS'!E4 / 'Historical BS'!$B4, "N/A")</f>
        <v>0.84595542715641769</v>
      </c>
      <c r="F4" s="25">
        <f>IFERROR('Historical BS'!F4 / 'Historical BS'!$B4, "N/A")</f>
        <v>0.83259389186958321</v>
      </c>
      <c r="H4" s="36"/>
      <c r="I4" s="43">
        <v>2020</v>
      </c>
      <c r="J4" s="43">
        <v>2021</v>
      </c>
      <c r="K4" s="43">
        <v>2022</v>
      </c>
      <c r="L4" s="43">
        <v>2023</v>
      </c>
      <c r="M4" s="43">
        <v>2024</v>
      </c>
    </row>
    <row r="5" spans="1:13" x14ac:dyDescent="0.2">
      <c r="A5" s="17" t="s">
        <v>3</v>
      </c>
      <c r="B5" s="25">
        <v>0</v>
      </c>
      <c r="C5" s="24" t="str">
        <f>IFERROR('Historical BS'!C5 / 'Historical BS'!$B5, "N/A")</f>
        <v>N/A</v>
      </c>
      <c r="D5" s="24" t="str">
        <f>IFERROR('Historical BS'!D5 / 'Historical BS'!$B5, "N/A")</f>
        <v>N/A</v>
      </c>
      <c r="E5" s="24" t="str">
        <f>IFERROR('Historical BS'!E5 / 'Historical BS'!$B5, "N/A")</f>
        <v>N/A</v>
      </c>
      <c r="F5" s="24" t="str">
        <f>IFERROR('Historical BS'!F5 / 'Historical BS'!$B5, "N/A")</f>
        <v>N/A</v>
      </c>
      <c r="H5" s="45" t="s">
        <v>18</v>
      </c>
      <c r="I5" s="25">
        <f>B20</f>
        <v>1</v>
      </c>
      <c r="J5" s="25">
        <f t="shared" ref="J5:M5" si="0">C20</f>
        <v>1.1914359131702079</v>
      </c>
      <c r="K5" s="25">
        <f t="shared" si="0"/>
        <v>1.5789292015034133</v>
      </c>
      <c r="L5" s="25">
        <f t="shared" si="0"/>
        <v>2.04452711513385</v>
      </c>
      <c r="M5" s="25">
        <f t="shared" si="0"/>
        <v>2.3408376160159547</v>
      </c>
    </row>
    <row r="6" spans="1:13" x14ac:dyDescent="0.2">
      <c r="A6" s="17" t="s">
        <v>4</v>
      </c>
      <c r="B6" s="25">
        <v>1</v>
      </c>
      <c r="C6" s="25">
        <f>IFERROR('Historical BS'!C6 / 'Historical BS'!$B6, "N/A")</f>
        <v>0.91348534874122989</v>
      </c>
      <c r="D6" s="25">
        <f>IFERROR('Historical BS'!D6 / 'Historical BS'!$B6, "N/A")</f>
        <v>1.144500619067272</v>
      </c>
      <c r="E6" s="25">
        <f>IFERROR('Historical BS'!E6 / 'Historical BS'!$B6, "N/A")</f>
        <v>1.5009286009079654</v>
      </c>
      <c r="F6" s="25">
        <f>IFERROR('Historical BS'!F6 / 'Historical BS'!$B6, "N/A")</f>
        <v>1.8862463887742469</v>
      </c>
      <c r="H6" s="45" t="s">
        <v>42</v>
      </c>
      <c r="I6" s="25">
        <f>B45</f>
        <v>1</v>
      </c>
      <c r="J6" s="25">
        <f t="shared" ref="J6:M6" si="1">C45</f>
        <v>1.3337978799780397</v>
      </c>
      <c r="K6" s="25">
        <f t="shared" si="1"/>
        <v>1.9383419907935302</v>
      </c>
      <c r="L6" s="25">
        <f t="shared" si="1"/>
        <v>2.6863043202837957</v>
      </c>
      <c r="M6" s="25">
        <f t="shared" si="1"/>
        <v>3.1116178892689725</v>
      </c>
    </row>
    <row r="7" spans="1:13" x14ac:dyDescent="0.2">
      <c r="A7" s="17" t="s">
        <v>5</v>
      </c>
      <c r="B7" s="25">
        <v>1</v>
      </c>
      <c r="C7" s="25">
        <f>IFERROR('Historical BS'!C7 / 'Historical BS'!$B7, "N/A")</f>
        <v>1.0143160127253446</v>
      </c>
      <c r="D7" s="25">
        <f>IFERROR('Historical BS'!D7 / 'Historical BS'!$B7, "N/A")</f>
        <v>1.5652173913043479</v>
      </c>
      <c r="E7" s="25">
        <f>IFERROR('Historical BS'!E7 / 'Historical BS'!$B7, "N/A")</f>
        <v>1.8600212089077413</v>
      </c>
      <c r="F7" s="25">
        <f>IFERROR('Historical BS'!F7 / 'Historical BS'!$B7, "N/A")</f>
        <v>2.3425238600212088</v>
      </c>
      <c r="H7" s="45" t="s">
        <v>34</v>
      </c>
      <c r="I7" s="25">
        <f>B37</f>
        <v>1</v>
      </c>
      <c r="J7" s="25">
        <f t="shared" ref="J7:M7" si="2">C37</f>
        <v>1.0730268010818786</v>
      </c>
      <c r="K7" s="25">
        <f t="shared" si="2"/>
        <v>1.2799887597035371</v>
      </c>
      <c r="L7" s="25">
        <f t="shared" si="2"/>
        <v>1.5107309705293477</v>
      </c>
      <c r="M7" s="25">
        <f t="shared" si="2"/>
        <v>1.6997435807369419</v>
      </c>
    </row>
    <row r="8" spans="1:13" x14ac:dyDescent="0.2">
      <c r="A8" s="17" t="s">
        <v>6</v>
      </c>
      <c r="B8" s="25">
        <v>1</v>
      </c>
      <c r="C8" s="25">
        <f>IFERROR('Historical BS'!C8 / 'Historical BS'!$B8, "N/A")</f>
        <v>1.4038039502560351</v>
      </c>
      <c r="D8" s="25">
        <f>IFERROR('Historical BS'!D8 / 'Historical BS'!$B8, "N/A")</f>
        <v>3.1306998293099242</v>
      </c>
      <c r="E8" s="25">
        <f>IFERROR('Historical BS'!E8 / 'Historical BS'!$B8, "N/A")</f>
        <v>3.3226042428675933</v>
      </c>
      <c r="F8" s="25">
        <f>IFERROR('Historical BS'!F8 / 'Historical BS'!$B8, "N/A")</f>
        <v>2.9302609119726895</v>
      </c>
    </row>
    <row r="9" spans="1:13" x14ac:dyDescent="0.2">
      <c r="A9" s="17" t="s">
        <v>7</v>
      </c>
      <c r="B9" s="25">
        <v>1</v>
      </c>
      <c r="C9" s="25">
        <f>IFERROR('Historical BS'!C9 / 'Historical BS'!$B9, "N/A")</f>
        <v>1.2800891530460623</v>
      </c>
      <c r="D9" s="25">
        <f>IFERROR('Historical BS'!D9 / 'Historical BS'!$B9, "N/A")</f>
        <v>2.1849925705794946</v>
      </c>
      <c r="E9" s="25">
        <f>IFERROR('Historical BS'!E9 / 'Historical BS'!$B9, "N/A")</f>
        <v>2.5170876671619613</v>
      </c>
      <c r="F9" s="25">
        <f>IFERROR('Historical BS'!F9 / 'Historical BS'!$B9, "N/A")</f>
        <v>3.9836552748885588</v>
      </c>
    </row>
    <row r="10" spans="1:13" x14ac:dyDescent="0.2">
      <c r="A10" s="45" t="s">
        <v>8</v>
      </c>
      <c r="B10" s="25">
        <v>1</v>
      </c>
      <c r="C10" s="25">
        <f>IFERROR('Historical BS'!C10 / 'Historical BS'!$B10, "N/A")</f>
        <v>1.0143354418535016</v>
      </c>
      <c r="D10" s="25">
        <f>IFERROR('Historical BS'!D10 / 'Historical BS'!$B10, "N/A")</f>
        <v>1.5314967997903957</v>
      </c>
      <c r="E10" s="25">
        <f>IFERROR('Historical BS'!E10 / 'Historical BS'!$B10, "N/A")</f>
        <v>1.8570947336901598</v>
      </c>
      <c r="F10" s="25">
        <f>IFERROR('Historical BS'!F10 / 'Historical BS'!$B10, "N/A")</f>
        <v>2.1843769884343303</v>
      </c>
    </row>
    <row r="11" spans="1:13" x14ac:dyDescent="0.2">
      <c r="A11" s="44" t="s">
        <v>9</v>
      </c>
      <c r="B11" s="25"/>
      <c r="C11" s="25"/>
      <c r="D11" s="25"/>
      <c r="E11" s="25"/>
      <c r="F11" s="25"/>
      <c r="H11" s="101" t="s">
        <v>372</v>
      </c>
      <c r="I11" s="101"/>
      <c r="J11" s="101"/>
      <c r="K11" s="101"/>
      <c r="L11" s="101"/>
      <c r="M11" s="101"/>
    </row>
    <row r="12" spans="1:13" x14ac:dyDescent="0.2">
      <c r="A12" s="17" t="s">
        <v>10</v>
      </c>
      <c r="B12" s="25">
        <v>1</v>
      </c>
      <c r="C12" s="25">
        <f>IFERROR('Historical BS'!C12 / 'Historical BS'!$B12, "N/A")</f>
        <v>1.3335614680468817</v>
      </c>
      <c r="D12" s="25">
        <f>IFERROR('Historical BS'!D12 / 'Historical BS'!$B12, "N/A")</f>
        <v>1.567071605783215</v>
      </c>
      <c r="E12" s="25">
        <f>IFERROR('Historical BS'!E12 / 'Historical BS'!$B12, "N/A")</f>
        <v>1.9301480023954145</v>
      </c>
      <c r="F12" s="25">
        <f>IFERROR('Historical BS'!F12 / 'Historical BS'!$B12, "N/A")</f>
        <v>2.2032252545127897</v>
      </c>
      <c r="H12" s="101"/>
      <c r="I12" s="101"/>
      <c r="J12" s="101"/>
      <c r="K12" s="101"/>
      <c r="L12" s="101"/>
      <c r="M12" s="101"/>
    </row>
    <row r="13" spans="1:13" x14ac:dyDescent="0.2">
      <c r="A13" s="17" t="s">
        <v>11</v>
      </c>
      <c r="B13" s="25">
        <v>1</v>
      </c>
      <c r="C13" s="25">
        <f>IFERROR('Historical BS'!C13 / 'Historical BS'!$B13, "N/A")</f>
        <v>0.96618357487922701</v>
      </c>
      <c r="D13" s="25">
        <f>IFERROR('Historical BS'!D13 / 'Historical BS'!$B13, "N/A")</f>
        <v>0.9371980676328503</v>
      </c>
      <c r="E13" s="25">
        <f>IFERROR('Historical BS'!E13 / 'Historical BS'!$B13, "N/A")</f>
        <v>1.2222222222222223</v>
      </c>
      <c r="F13" s="25">
        <f>IFERROR('Historical BS'!F13 / 'Historical BS'!$B13, "N/A")</f>
        <v>1.1787439613526569</v>
      </c>
      <c r="H13" s="101"/>
      <c r="I13" s="101"/>
      <c r="J13" s="101"/>
      <c r="K13" s="101"/>
      <c r="L13" s="101"/>
      <c r="M13" s="101"/>
    </row>
    <row r="14" spans="1:13" x14ac:dyDescent="0.2">
      <c r="A14" s="17" t="s">
        <v>12</v>
      </c>
      <c r="B14" s="25">
        <v>1</v>
      </c>
      <c r="C14" s="25">
        <f>IFERROR('Historical BS'!C14 / 'Historical BS'!$B14, "N/A")</f>
        <v>4.8466453674121404</v>
      </c>
      <c r="D14" s="25">
        <f>IFERROR('Historical BS'!D14 / 'Historical BS'!$B14, "N/A")</f>
        <v>1.2747603833865815</v>
      </c>
      <c r="E14" s="25">
        <f>IFERROR('Historical BS'!E14 / 'Historical BS'!$B14, "N/A")</f>
        <v>1.1565495207667731</v>
      </c>
      <c r="F14" s="25">
        <f>IFERROR('Historical BS'!F14 / 'Historical BS'!$B14, "N/A")</f>
        <v>3.9169329073482428</v>
      </c>
      <c r="H14" s="101"/>
      <c r="I14" s="101"/>
      <c r="J14" s="101"/>
      <c r="K14" s="101"/>
      <c r="L14" s="101"/>
      <c r="M14" s="101"/>
    </row>
    <row r="15" spans="1:13" x14ac:dyDescent="0.2">
      <c r="A15" s="17" t="s">
        <v>13</v>
      </c>
      <c r="B15" s="25">
        <v>1</v>
      </c>
      <c r="C15" s="25">
        <f>IFERROR('Historical BS'!C15 / 'Historical BS'!$B15, "N/A")</f>
        <v>3.3019230769230767</v>
      </c>
      <c r="D15" s="25">
        <f>IFERROR('Historical BS'!D15 / 'Historical BS'!$B15, "N/A")</f>
        <v>1.1403846153846153</v>
      </c>
      <c r="E15" s="25">
        <f>IFERROR('Historical BS'!E15 / 'Historical BS'!$B15, "N/A")</f>
        <v>1.1826923076923077</v>
      </c>
      <c r="F15" s="25">
        <f>IFERROR('Historical BS'!F15 / 'Historical BS'!$B15, "N/A")</f>
        <v>2.8269230769230771</v>
      </c>
      <c r="H15" s="101"/>
      <c r="I15" s="101"/>
      <c r="J15" s="101"/>
      <c r="K15" s="101"/>
      <c r="L15" s="101"/>
      <c r="M15" s="101"/>
    </row>
    <row r="16" spans="1:13" x14ac:dyDescent="0.2">
      <c r="A16" s="17" t="s">
        <v>14</v>
      </c>
      <c r="B16" s="25">
        <v>0</v>
      </c>
      <c r="C16" s="24" t="str">
        <f>IFERROR('Historical BS'!C16 / 'Historical BS'!$B16, "N/A")</f>
        <v>N/A</v>
      </c>
      <c r="D16" s="24" t="str">
        <f>IFERROR('Historical BS'!D16 / 'Historical BS'!$B16, "N/A")</f>
        <v>N/A</v>
      </c>
      <c r="E16" s="24" t="str">
        <f>IFERROR('Historical BS'!E16 / 'Historical BS'!$B16, "N/A")</f>
        <v>N/A</v>
      </c>
      <c r="F16" s="24" t="str">
        <f>IFERROR('Historical BS'!F16 / 'Historical BS'!$B16, "N/A")</f>
        <v>N/A</v>
      </c>
      <c r="H16" s="101"/>
      <c r="I16" s="101"/>
      <c r="J16" s="101"/>
      <c r="K16" s="101"/>
      <c r="L16" s="101"/>
      <c r="M16" s="101"/>
    </row>
    <row r="17" spans="1:6" x14ac:dyDescent="0.2">
      <c r="A17" s="17" t="s">
        <v>15</v>
      </c>
      <c r="B17" s="25">
        <v>0</v>
      </c>
      <c r="C17" s="24" t="str">
        <f>IFERROR('Historical BS'!C17 / 'Historical BS'!$B17, "N/A")</f>
        <v>N/A</v>
      </c>
      <c r="D17" s="24" t="str">
        <f>IFERROR('Historical BS'!D17 / 'Historical BS'!$B17, "N/A")</f>
        <v>N/A</v>
      </c>
      <c r="E17" s="24" t="str">
        <f>IFERROR('Historical BS'!E17 / 'Historical BS'!$B17, "N/A")</f>
        <v>N/A</v>
      </c>
      <c r="F17" s="24" t="str">
        <f>IFERROR('Historical BS'!F17 / 'Historical BS'!$B17, "N/A")</f>
        <v>N/A</v>
      </c>
    </row>
    <row r="18" spans="1:6" x14ac:dyDescent="0.2">
      <c r="A18" s="17" t="s">
        <v>16</v>
      </c>
      <c r="B18" s="25">
        <v>1</v>
      </c>
      <c r="C18" s="25">
        <f>IFERROR('Historical BS'!C18 / 'Historical BS'!$B18, "N/A")</f>
        <v>1.3893229166666667</v>
      </c>
      <c r="D18" s="25">
        <f>IFERROR('Historical BS'!D18 / 'Historical BS'!$B18, "N/A")</f>
        <v>2.5162760416666665</v>
      </c>
      <c r="E18" s="25">
        <f>IFERROR('Historical BS'!E18 / 'Historical BS'!$B18, "N/A")</f>
        <v>2.9498697916666665</v>
      </c>
      <c r="F18" s="25">
        <f>IFERROR('Historical BS'!F18 / 'Historical BS'!$B18, "N/A")</f>
        <v>2.744140625</v>
      </c>
    </row>
    <row r="19" spans="1:6" x14ac:dyDescent="0.2">
      <c r="A19" s="45" t="s">
        <v>17</v>
      </c>
      <c r="B19" s="25">
        <v>1</v>
      </c>
      <c r="C19" s="25">
        <f>IFERROR('Historical BS'!C19 / 'Historical BS'!$B19, "N/A")</f>
        <v>1.3771722890618856</v>
      </c>
      <c r="D19" s="25">
        <f>IFERROR('Historical BS'!D19 / 'Historical BS'!$B19, "N/A")</f>
        <v>1.6285680585043643</v>
      </c>
      <c r="E19" s="25">
        <f>IFERROR('Historical BS'!E19 / 'Historical BS'!$B19, "N/A")</f>
        <v>2.2411732326806635</v>
      </c>
      <c r="F19" s="25">
        <f>IFERROR('Historical BS'!F19 / 'Historical BS'!$B19, "N/A")</f>
        <v>2.5051505858299912</v>
      </c>
    </row>
    <row r="20" spans="1:6" x14ac:dyDescent="0.2">
      <c r="A20" s="45" t="s">
        <v>18</v>
      </c>
      <c r="B20" s="25">
        <v>1</v>
      </c>
      <c r="C20" s="25">
        <f>IFERROR('Historical BS'!C20 / 'Historical BS'!$B20, "N/A")</f>
        <v>1.1914359131702079</v>
      </c>
      <c r="D20" s="25">
        <f>IFERROR('Historical BS'!D20 / 'Historical BS'!$B20, "N/A")</f>
        <v>1.5789292015034133</v>
      </c>
      <c r="E20" s="25">
        <f>IFERROR('Historical BS'!E20 / 'Historical BS'!$B20, "N/A")</f>
        <v>2.04452711513385</v>
      </c>
      <c r="F20" s="25">
        <f>IFERROR('Historical BS'!F20 / 'Historical BS'!$B20, "N/A")</f>
        <v>2.3408376160159547</v>
      </c>
    </row>
    <row r="21" spans="1:6" x14ac:dyDescent="0.2">
      <c r="A21" s="1"/>
      <c r="B21" s="25"/>
      <c r="C21" s="25"/>
      <c r="D21" s="25"/>
      <c r="E21" s="25"/>
      <c r="F21" s="25"/>
    </row>
    <row r="22" spans="1:6" ht="16" x14ac:dyDescent="0.2">
      <c r="A22" s="34" t="s">
        <v>19</v>
      </c>
      <c r="B22" s="25"/>
      <c r="C22" s="25"/>
      <c r="D22" s="25"/>
      <c r="E22" s="25"/>
      <c r="F22" s="25"/>
    </row>
    <row r="23" spans="1:6" x14ac:dyDescent="0.2">
      <c r="A23" s="44" t="s">
        <v>20</v>
      </c>
      <c r="B23" s="25"/>
      <c r="C23" s="25"/>
      <c r="D23" s="25"/>
      <c r="E23" s="25"/>
      <c r="F23" s="25"/>
    </row>
    <row r="24" spans="1:6" x14ac:dyDescent="0.2">
      <c r="A24" s="17" t="s">
        <v>21</v>
      </c>
      <c r="B24" s="25">
        <v>1</v>
      </c>
      <c r="C24" s="25">
        <f>IFERROR('Historical BS'!C24 / 'Historical BS'!$B24, "N/A")</f>
        <v>1.6567509502561559</v>
      </c>
      <c r="D24" s="25">
        <f>IFERROR('Historical BS'!D24 / 'Historical BS'!$B24, "N/A")</f>
        <v>2.521070897372335</v>
      </c>
      <c r="E24" s="25">
        <f>IFERROR('Historical BS'!E24 / 'Historical BS'!$B24, "N/A")</f>
        <v>2.3848950586679889</v>
      </c>
      <c r="F24" s="25">
        <f>IFERROR('Historical BS'!F24 / 'Historical BS'!$B24, "N/A")</f>
        <v>2.0614774417451662</v>
      </c>
    </row>
    <row r="25" spans="1:6" x14ac:dyDescent="0.2">
      <c r="A25" s="17" t="s">
        <v>22</v>
      </c>
      <c r="B25" s="25">
        <v>1</v>
      </c>
      <c r="C25" s="25">
        <f>IFERROR('Historical BS'!C25 / 'Historical BS'!$B25, "N/A")</f>
        <v>1.5146848137535818</v>
      </c>
      <c r="D25" s="25">
        <f>IFERROR('Historical BS'!D25 / 'Historical BS'!$B25, "N/A")</f>
        <v>1.9419770773638969</v>
      </c>
      <c r="E25" s="25">
        <f>IFERROR('Historical BS'!E25 / 'Historical BS'!$B25, "N/A")</f>
        <v>2.2664756446991405</v>
      </c>
      <c r="F25" s="25">
        <f>IFERROR('Historical BS'!F25 / 'Historical BS'!$B25, "N/A")</f>
        <v>3.1959169054441259</v>
      </c>
    </row>
    <row r="26" spans="1:6" x14ac:dyDescent="0.2">
      <c r="A26" s="17" t="s">
        <v>23</v>
      </c>
      <c r="B26" s="25">
        <v>1</v>
      </c>
      <c r="C26" s="25">
        <f>IFERROR('Historical BS'!C26 / 'Historical BS'!$B26, "N/A")</f>
        <v>1.0733031674208144</v>
      </c>
      <c r="D26" s="25">
        <f>IFERROR('Historical BS'!D26 / 'Historical BS'!$B26, "N/A")</f>
        <v>1.2714932126696832</v>
      </c>
      <c r="E26" s="25">
        <f>IFERROR('Historical BS'!E26 / 'Historical BS'!$B26, "N/A")</f>
        <v>1.6923076923076923</v>
      </c>
      <c r="F26" s="25">
        <f>IFERROR('Historical BS'!F26 / 'Historical BS'!$B26, "N/A")</f>
        <v>1.8828054298642534</v>
      </c>
    </row>
    <row r="27" spans="1:6" x14ac:dyDescent="0.2">
      <c r="A27" s="17" t="s">
        <v>24</v>
      </c>
      <c r="B27" s="25">
        <v>1</v>
      </c>
      <c r="C27" s="25">
        <f>IFERROR('Historical BS'!C27 / 'Historical BS'!$B27, "N/A")</f>
        <v>0.80934656741108357</v>
      </c>
      <c r="D27" s="25">
        <f>IFERROR('Historical BS'!D27 / 'Historical BS'!$B27, "N/A")</f>
        <v>0.82175351530190244</v>
      </c>
      <c r="E27" s="25">
        <f>IFERROR('Historical BS'!E27 / 'Historical BS'!$B27, "N/A")</f>
        <v>1.2593052109181142</v>
      </c>
      <c r="F27" s="25">
        <f>IFERROR('Historical BS'!F27 / 'Historical BS'!$B27, "N/A")</f>
        <v>1.3494623655913978</v>
      </c>
    </row>
    <row r="28" spans="1:6" x14ac:dyDescent="0.2">
      <c r="A28" s="17" t="s">
        <v>25</v>
      </c>
      <c r="B28" s="25">
        <v>1</v>
      </c>
      <c r="C28" s="25">
        <f>IFERROR('Historical BS'!C28 / 'Historical BS'!$B28, "N/A")</f>
        <v>1.444015444015444</v>
      </c>
      <c r="D28" s="25">
        <f>IFERROR('Historical BS'!D28 / 'Historical BS'!$B28, "N/A")</f>
        <v>1.5894465894465895</v>
      </c>
      <c r="E28" s="25">
        <f>IFERROR('Historical BS'!E28 / 'Historical BS'!$B28, "N/A")</f>
        <v>1.5495495495495495</v>
      </c>
      <c r="F28" s="25">
        <f>IFERROR('Historical BS'!F28 / 'Historical BS'!$B28, "N/A")</f>
        <v>0</v>
      </c>
    </row>
    <row r="29" spans="1:6" x14ac:dyDescent="0.2">
      <c r="A29" s="45" t="s">
        <v>26</v>
      </c>
      <c r="B29" s="25">
        <v>1</v>
      </c>
      <c r="C29" s="25">
        <f>IFERROR('Historical BS'!C29 / 'Historical BS'!$B29, "N/A")</f>
        <v>1.3830011229646266</v>
      </c>
      <c r="D29" s="25">
        <f>IFERROR('Historical BS'!D29 / 'Historical BS'!$B29, "N/A")</f>
        <v>1.8745788882650196</v>
      </c>
      <c r="E29" s="25">
        <f>IFERROR('Historical BS'!E29 / 'Historical BS'!$B29, "N/A")</f>
        <v>2.0176866928691748</v>
      </c>
      <c r="F29" s="25">
        <f>IFERROR('Historical BS'!F29 / 'Historical BS'!$B29, "N/A")</f>
        <v>2.0228102189781021</v>
      </c>
    </row>
    <row r="30" spans="1:6" x14ac:dyDescent="0.2">
      <c r="A30" s="44" t="s">
        <v>27</v>
      </c>
      <c r="B30" s="25"/>
      <c r="C30" s="25"/>
      <c r="D30" s="25"/>
      <c r="E30" s="25"/>
      <c r="F30" s="25"/>
    </row>
    <row r="31" spans="1:6" x14ac:dyDescent="0.2">
      <c r="A31" s="17" t="s">
        <v>28</v>
      </c>
      <c r="B31" s="25">
        <v>1</v>
      </c>
      <c r="C31" s="25">
        <f>IFERROR('Historical BS'!C31 / 'Historical BS'!$B31, "N/A")</f>
        <v>0.63677377773685662</v>
      </c>
      <c r="D31" s="25">
        <f>IFERROR('Historical BS'!D31 / 'Historical BS'!$B31, "N/A")</f>
        <v>0.34628487247951384</v>
      </c>
      <c r="E31" s="25">
        <f>IFERROR('Historical BS'!E31 / 'Historical BS'!$B31, "N/A")</f>
        <v>0.60104962710615961</v>
      </c>
      <c r="F31" s="25">
        <f>IFERROR('Historical BS'!F31 / 'Historical BS'!$B31, "N/A")</f>
        <v>0.95387165086087833</v>
      </c>
    </row>
    <row r="32" spans="1:6" x14ac:dyDescent="0.2">
      <c r="A32" s="45" t="s">
        <v>29</v>
      </c>
      <c r="B32" s="25">
        <v>1</v>
      </c>
      <c r="C32" s="25">
        <f>IFERROR('Historical BS'!C32 / 'Historical BS'!$B32, "N/A")</f>
        <v>1.1738696808510638</v>
      </c>
      <c r="D32" s="25">
        <f>IFERROR('Historical BS'!D32 / 'Historical BS'!$B32, "N/A")</f>
        <v>1.2310505319148937</v>
      </c>
      <c r="E32" s="25">
        <f>IFERROR('Historical BS'!E32 / 'Historical BS'!$B32, "N/A")</f>
        <v>1.634308510638298</v>
      </c>
      <c r="F32" s="25">
        <f>IFERROR('Historical BS'!F32 / 'Historical BS'!$B32, "N/A")</f>
        <v>1.909906914893617</v>
      </c>
    </row>
    <row r="33" spans="1:6" x14ac:dyDescent="0.2">
      <c r="A33" s="17" t="s">
        <v>30</v>
      </c>
      <c r="B33" s="25">
        <v>1</v>
      </c>
      <c r="C33" s="25">
        <f>IFERROR('Historical BS'!C33 / 'Historical BS'!$B33, "N/A")</f>
        <v>1.5981308411214954</v>
      </c>
      <c r="D33" s="25">
        <f>IFERROR('Historical BS'!D33 / 'Historical BS'!$B33, "N/A")</f>
        <v>2.1838006230529596</v>
      </c>
      <c r="E33" s="25">
        <f>IFERROR('Historical BS'!E33 / 'Historical BS'!$B33, "N/A")</f>
        <v>2.531931464174455</v>
      </c>
      <c r="F33" s="25">
        <f>IFERROR('Historical BS'!F33 / 'Historical BS'!$B33, "N/A")</f>
        <v>2.5833333333333335</v>
      </c>
    </row>
    <row r="34" spans="1:6" x14ac:dyDescent="0.2">
      <c r="A34" s="17" t="s">
        <v>31</v>
      </c>
      <c r="B34" s="25">
        <v>1</v>
      </c>
      <c r="C34" s="25">
        <f>IFERROR('Historical BS'!C34 / 'Historical BS'!$B34, "N/A")</f>
        <v>0.15894039735099338</v>
      </c>
      <c r="D34" s="25">
        <f>IFERROR('Historical BS'!D34 / 'Historical BS'!$B34, "N/A")</f>
        <v>0.54304635761589404</v>
      </c>
      <c r="E34" s="25">
        <f>IFERROR('Historical BS'!E34 / 'Historical BS'!$B34, "N/A")</f>
        <v>0</v>
      </c>
      <c r="F34" s="25">
        <f>IFERROR('Historical BS'!F34 / 'Historical BS'!$B34, "N/A")</f>
        <v>0</v>
      </c>
    </row>
    <row r="35" spans="1:6" x14ac:dyDescent="0.2">
      <c r="A35" s="17" t="s">
        <v>32</v>
      </c>
      <c r="B35" s="25">
        <v>1</v>
      </c>
      <c r="C35" s="25">
        <f>IFERROR('Historical BS'!C35 / 'Historical BS'!$B35, "N/A")</f>
        <v>0.97402597402597402</v>
      </c>
      <c r="D35" s="25">
        <f>IFERROR('Historical BS'!D35 / 'Historical BS'!$B35, "N/A")</f>
        <v>1.602077922077922</v>
      </c>
      <c r="E35" s="25">
        <f>IFERROR('Historical BS'!E35 / 'Historical BS'!$B35, "N/A")</f>
        <v>2.3283116883116883</v>
      </c>
      <c r="F35" s="25">
        <f>IFERROR('Historical BS'!F35 / 'Historical BS'!$B35, "N/A")</f>
        <v>3.0607792207792208</v>
      </c>
    </row>
    <row r="36" spans="1:6" x14ac:dyDescent="0.2">
      <c r="A36" s="45" t="s">
        <v>33</v>
      </c>
      <c r="B36" s="25">
        <v>1</v>
      </c>
      <c r="C36" s="25">
        <f>IFERROR('Historical BS'!C36 / 'Historical BS'!$B36, "N/A")</f>
        <v>0.7624639617467126</v>
      </c>
      <c r="D36" s="25">
        <f>IFERROR('Historical BS'!D36 / 'Historical BS'!$B36, "N/A")</f>
        <v>0.68426974193094714</v>
      </c>
      <c r="E36" s="25">
        <f>IFERROR('Historical BS'!E36 / 'Historical BS'!$B36, "N/A")</f>
        <v>1.0028127417199915</v>
      </c>
      <c r="F36" s="25">
        <f>IFERROR('Historical BS'!F36 / 'Historical BS'!$B36, "N/A")</f>
        <v>1.3760635679628719</v>
      </c>
    </row>
    <row r="37" spans="1:6" x14ac:dyDescent="0.2">
      <c r="A37" s="45" t="s">
        <v>34</v>
      </c>
      <c r="B37" s="25">
        <v>1</v>
      </c>
      <c r="C37" s="25">
        <f>IFERROR('Historical BS'!C37 / 'Historical BS'!$B37, "N/A")</f>
        <v>1.0730268010818786</v>
      </c>
      <c r="D37" s="25">
        <f>IFERROR('Historical BS'!D37 / 'Historical BS'!$B37, "N/A")</f>
        <v>1.2799887597035371</v>
      </c>
      <c r="E37" s="25">
        <f>IFERROR('Historical BS'!E37 / 'Historical BS'!$B37, "N/A")</f>
        <v>1.5107309705293477</v>
      </c>
      <c r="F37" s="25">
        <f>IFERROR('Historical BS'!F37 / 'Historical BS'!$B37, "N/A")</f>
        <v>1.6997435807369419</v>
      </c>
    </row>
    <row r="38" spans="1:6" x14ac:dyDescent="0.2">
      <c r="A38" s="44" t="s">
        <v>35</v>
      </c>
      <c r="B38" s="25"/>
      <c r="C38" s="25"/>
      <c r="D38" s="25"/>
      <c r="E38" s="25"/>
      <c r="F38" s="25"/>
    </row>
    <row r="39" spans="1:6" x14ac:dyDescent="0.2">
      <c r="A39" s="17" t="s">
        <v>36</v>
      </c>
      <c r="B39" s="25">
        <v>1</v>
      </c>
      <c r="C39" s="25">
        <f>IFERROR('Historical BS'!C39 / 'Historical BS'!$B39, "N/A")</f>
        <v>1</v>
      </c>
      <c r="D39" s="25">
        <f>IFERROR('Historical BS'!D39 / 'Historical BS'!$B39, "N/A")</f>
        <v>3</v>
      </c>
      <c r="E39" s="25">
        <f>IFERROR('Historical BS'!E39 / 'Historical BS'!$B39, "N/A")</f>
        <v>3</v>
      </c>
      <c r="F39" s="25">
        <f>IFERROR('Historical BS'!F39 / 'Historical BS'!$B39, "N/A")</f>
        <v>3</v>
      </c>
    </row>
    <row r="40" spans="1:6" x14ac:dyDescent="0.2">
      <c r="A40" s="17" t="s">
        <v>37</v>
      </c>
      <c r="B40" s="25">
        <v>1</v>
      </c>
      <c r="C40" s="25">
        <f>IFERROR('Historical BS'!C40 / 'Historical BS'!$B40, "N/A")</f>
        <v>-6.093721059455455E-2</v>
      </c>
      <c r="D40" s="25">
        <f>IFERROR('Historical BS'!D40 / 'Historical BS'!$B40, "N/A")</f>
        <v>-2.3865530653824782</v>
      </c>
      <c r="E40" s="25">
        <f>IFERROR('Historical BS'!E40 / 'Historical BS'!$B40, "N/A")</f>
        <v>-5.1642896832746805</v>
      </c>
      <c r="F40" s="25">
        <f>IFERROR('Historical BS'!F40 / 'Historical BS'!$B40, "N/A")</f>
        <v>-6.5213928505278753</v>
      </c>
    </row>
    <row r="41" spans="1:6" x14ac:dyDescent="0.2">
      <c r="A41" s="17" t="s">
        <v>38</v>
      </c>
      <c r="B41" s="25">
        <v>1</v>
      </c>
      <c r="C41" s="25">
        <f>IFERROR('Historical BS'!C41 / 'Historical BS'!$B41, "N/A")</f>
        <v>0.1487603305785124</v>
      </c>
      <c r="D41" s="25">
        <f>IFERROR('Historical BS'!D41 / 'Historical BS'!$B41, "N/A")</f>
        <v>-0.99449035812672182</v>
      </c>
      <c r="E41" s="25">
        <f>IFERROR('Historical BS'!E41 / 'Historical BS'!$B41, "N/A")</f>
        <v>-0.39393939393939392</v>
      </c>
      <c r="F41" s="25">
        <f>IFERROR('Historical BS'!F41 / 'Historical BS'!$B41, "N/A")</f>
        <v>-1.8457300275482094</v>
      </c>
    </row>
    <row r="42" spans="1:6" x14ac:dyDescent="0.2">
      <c r="A42" s="17" t="s">
        <v>39</v>
      </c>
      <c r="B42" s="25">
        <v>1</v>
      </c>
      <c r="C42" s="25">
        <f>IFERROR('Historical BS'!C42 / 'Historical BS'!$B42, "N/A")</f>
        <v>1.093360234776229</v>
      </c>
      <c r="D42" s="25">
        <f>IFERROR('Historical BS'!D42 / 'Historical BS'!$B42, "N/A")</f>
        <v>1.1803741746148202</v>
      </c>
      <c r="E42" s="25">
        <f>IFERROR('Historical BS'!E42 / 'Historical BS'!$B42, "N/A")</f>
        <v>1.2799706529713866</v>
      </c>
      <c r="F42" s="25">
        <f>IFERROR('Historical BS'!F42 / 'Historical BS'!$B42, "N/A")</f>
        <v>1.407593543653705</v>
      </c>
    </row>
    <row r="43" spans="1:6" x14ac:dyDescent="0.2">
      <c r="A43" s="45" t="s">
        <v>40</v>
      </c>
      <c r="B43" s="25">
        <v>1</v>
      </c>
      <c r="C43" s="25">
        <f>IFERROR('Historical BS'!C43 / 'Historical BS'!$B43, "N/A")</f>
        <v>1.3583352080989877</v>
      </c>
      <c r="D43" s="25">
        <f>IFERROR('Historical BS'!D43 / 'Historical BS'!$B43, "N/A")</f>
        <v>2.0114285714285716</v>
      </c>
      <c r="E43" s="25">
        <f>IFERROR('Historical BS'!E43 / 'Historical BS'!$B43, "N/A")</f>
        <v>2.8181777277840272</v>
      </c>
      <c r="F43" s="25">
        <f>IFERROR('Historical BS'!F43 / 'Historical BS'!$B43, "N/A")</f>
        <v>3.2806749156355455</v>
      </c>
    </row>
    <row r="44" spans="1:6" x14ac:dyDescent="0.2">
      <c r="A44" s="17" t="s">
        <v>41</v>
      </c>
      <c r="B44" s="25">
        <v>1</v>
      </c>
      <c r="C44" s="25">
        <f>IFERROR('Historical BS'!C44 / 'Historical BS'!$B44, "N/A")</f>
        <v>0.95873452544704263</v>
      </c>
      <c r="D44" s="25">
        <f>IFERROR('Historical BS'!D44 / 'Historical BS'!$B44, "N/A")</f>
        <v>0.82118294360385147</v>
      </c>
      <c r="E44" s="25">
        <f>IFERROR('Historical BS'!E44 / 'Historical BS'!$B44, "N/A")</f>
        <v>0.67056396148555708</v>
      </c>
      <c r="F44" s="25">
        <f>IFERROR('Historical BS'!F44 / 'Historical BS'!$B44, "N/A")</f>
        <v>0.52751031636863821</v>
      </c>
    </row>
    <row r="45" spans="1:6" x14ac:dyDescent="0.2">
      <c r="A45" s="45" t="s">
        <v>42</v>
      </c>
      <c r="B45" s="25">
        <v>1</v>
      </c>
      <c r="C45" s="25">
        <f>IFERROR('Historical BS'!C45 / 'Historical BS'!$B45, "N/A")</f>
        <v>1.3337978799780397</v>
      </c>
      <c r="D45" s="25">
        <f>IFERROR('Historical BS'!D45 / 'Historical BS'!$B45, "N/A")</f>
        <v>1.9383419907935302</v>
      </c>
      <c r="E45" s="25">
        <f>IFERROR('Historical BS'!E45 / 'Historical BS'!$B45, "N/A")</f>
        <v>2.6863043202837957</v>
      </c>
      <c r="F45" s="25">
        <f>IFERROR('Historical BS'!F45 / 'Historical BS'!$B45, "N/A")</f>
        <v>3.1116178892689725</v>
      </c>
    </row>
    <row r="46" spans="1:6" x14ac:dyDescent="0.2">
      <c r="A46" s="45" t="s">
        <v>43</v>
      </c>
      <c r="B46" s="25">
        <v>1</v>
      </c>
      <c r="C46" s="25">
        <f>IFERROR('Historical BS'!C46 / 'Historical BS'!$B46, "N/A")</f>
        <v>1.1914359131702079</v>
      </c>
      <c r="D46" s="25">
        <f>IFERROR('Historical BS'!D46 / 'Historical BS'!$B46, "N/A")</f>
        <v>1.5789292015034133</v>
      </c>
      <c r="E46" s="25">
        <f>IFERROR('Historical BS'!E46 / 'Historical BS'!$B46, "N/A")</f>
        <v>2.04452711513385</v>
      </c>
      <c r="F46" s="25">
        <f>IFERROR('Historical BS'!F46 / 'Historical BS'!$B46, "N/A")</f>
        <v>2.3408376160159547</v>
      </c>
    </row>
    <row r="47" spans="1:6" x14ac:dyDescent="0.2">
      <c r="B47" s="6"/>
      <c r="C47" s="6"/>
      <c r="D47" s="6"/>
      <c r="E47" s="6"/>
      <c r="F47" s="6"/>
    </row>
    <row r="48" spans="1:6" x14ac:dyDescent="0.2">
      <c r="A48" s="89"/>
      <c r="B48" s="6"/>
      <c r="C48" s="6"/>
      <c r="D48" s="6"/>
      <c r="E48" s="6"/>
      <c r="F48" s="6"/>
    </row>
    <row r="49" spans="1:6" x14ac:dyDescent="0.2">
      <c r="A49" s="4"/>
      <c r="B49" s="6"/>
      <c r="C49" s="6"/>
      <c r="D49" s="6"/>
      <c r="E49" s="6"/>
      <c r="F49" s="6"/>
    </row>
    <row r="50" spans="1:6" x14ac:dyDescent="0.2">
      <c r="A50" s="4"/>
      <c r="B50" s="6"/>
      <c r="C50" s="6"/>
      <c r="D50" s="6"/>
      <c r="E50" s="6"/>
      <c r="F50" s="6"/>
    </row>
  </sheetData>
  <mergeCells count="1">
    <mergeCell ref="H11:M1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65F-4382-874B-B753-95C6289CAB71}">
  <dimension ref="A1:X60"/>
  <sheetViews>
    <sheetView tabSelected="1" topLeftCell="K1" zoomScale="118" zoomScaleNormal="31" workbookViewId="0">
      <selection activeCell="L10" sqref="L10"/>
    </sheetView>
  </sheetViews>
  <sheetFormatPr baseColWidth="10" defaultRowHeight="15" x14ac:dyDescent="0.2"/>
  <cols>
    <col min="1" max="1" width="32.83203125" customWidth="1"/>
    <col min="14" max="14" width="32.83203125" customWidth="1"/>
    <col min="15" max="15" width="10.33203125" customWidth="1"/>
    <col min="16" max="16" width="10.5" customWidth="1"/>
    <col min="17" max="17" width="10.1640625" customWidth="1"/>
    <col min="18" max="18" width="10" customWidth="1"/>
    <col min="19" max="19" width="31.1640625" customWidth="1"/>
    <col min="20" max="23" width="10" customWidth="1"/>
    <col min="24" max="24" width="10.6640625" customWidth="1"/>
  </cols>
  <sheetData>
    <row r="1" spans="1:24" x14ac:dyDescent="0.2">
      <c r="A1" s="60"/>
      <c r="B1" s="64">
        <v>2022</v>
      </c>
      <c r="C1" s="104">
        <v>2023</v>
      </c>
      <c r="D1" s="104"/>
      <c r="E1" s="104"/>
      <c r="F1" s="104"/>
      <c r="G1" s="104">
        <v>2024</v>
      </c>
      <c r="H1" s="104"/>
      <c r="I1" s="104"/>
      <c r="J1" s="104"/>
      <c r="K1" s="64">
        <v>2025</v>
      </c>
      <c r="N1" s="60"/>
      <c r="O1" s="64">
        <v>2022</v>
      </c>
      <c r="P1" s="104">
        <v>2023</v>
      </c>
      <c r="Q1" s="104"/>
      <c r="R1" s="104"/>
      <c r="S1" s="104"/>
      <c r="T1" s="104">
        <v>2024</v>
      </c>
      <c r="U1" s="104"/>
      <c r="V1" s="104"/>
      <c r="W1" s="104"/>
      <c r="X1" s="64">
        <v>2025</v>
      </c>
    </row>
    <row r="2" spans="1:24" x14ac:dyDescent="0.2">
      <c r="A2" s="62"/>
      <c r="B2" s="29" t="s">
        <v>183</v>
      </c>
      <c r="C2" s="29" t="s">
        <v>180</v>
      </c>
      <c r="D2" s="29" t="s">
        <v>181</v>
      </c>
      <c r="E2" s="29" t="s">
        <v>182</v>
      </c>
      <c r="F2" s="29" t="s">
        <v>183</v>
      </c>
      <c r="G2" s="29" t="s">
        <v>180</v>
      </c>
      <c r="H2" s="29" t="s">
        <v>181</v>
      </c>
      <c r="I2" s="29" t="s">
        <v>182</v>
      </c>
      <c r="J2" s="29" t="s">
        <v>183</v>
      </c>
      <c r="K2" s="29" t="s">
        <v>180</v>
      </c>
      <c r="N2" s="62"/>
      <c r="O2" s="29" t="s">
        <v>190</v>
      </c>
      <c r="P2" s="29" t="s">
        <v>191</v>
      </c>
      <c r="Q2" s="29" t="s">
        <v>192</v>
      </c>
      <c r="R2" s="29" t="s">
        <v>193</v>
      </c>
      <c r="S2" s="29" t="s">
        <v>194</v>
      </c>
      <c r="T2" s="29" t="s">
        <v>195</v>
      </c>
      <c r="U2" s="29" t="s">
        <v>196</v>
      </c>
      <c r="V2" s="29" t="s">
        <v>197</v>
      </c>
      <c r="W2" s="29" t="s">
        <v>194</v>
      </c>
      <c r="X2" s="29" t="s">
        <v>198</v>
      </c>
    </row>
    <row r="3" spans="1:24" ht="34" customHeight="1" x14ac:dyDescent="0.2">
      <c r="A3" s="63" t="s">
        <v>186</v>
      </c>
      <c r="B3" s="61">
        <v>21307</v>
      </c>
      <c r="C3" s="61">
        <v>21307</v>
      </c>
      <c r="D3" s="61">
        <v>21268</v>
      </c>
      <c r="E3" s="61">
        <v>19625</v>
      </c>
      <c r="F3" s="61">
        <v>21563</v>
      </c>
      <c r="G3" s="61">
        <v>17378</v>
      </c>
      <c r="H3" s="61">
        <v>19878</v>
      </c>
      <c r="I3" s="61">
        <v>20016</v>
      </c>
      <c r="J3" s="61">
        <v>19798</v>
      </c>
      <c r="K3" s="61">
        <v>13967</v>
      </c>
      <c r="N3" s="63" t="s">
        <v>188</v>
      </c>
      <c r="O3" s="65">
        <f>B3/B6</f>
        <v>0.9133267606841271</v>
      </c>
      <c r="P3" s="65">
        <f t="shared" ref="P3:X3" si="0">C3/C6</f>
        <v>0.85477594576162397</v>
      </c>
      <c r="Q3" s="65">
        <f t="shared" si="0"/>
        <v>0.85321137722148677</v>
      </c>
      <c r="R3" s="65">
        <f t="shared" si="0"/>
        <v>0.84047109207708781</v>
      </c>
      <c r="S3" s="65">
        <f t="shared" si="0"/>
        <v>0.8567965987205467</v>
      </c>
      <c r="T3" s="65">
        <f t="shared" si="0"/>
        <v>0.81583024271160975</v>
      </c>
      <c r="U3" s="65">
        <f t="shared" si="0"/>
        <v>0.77952941176470592</v>
      </c>
      <c r="V3" s="65">
        <f t="shared" si="0"/>
        <v>0.79485346676197288</v>
      </c>
      <c r="W3" s="65">
        <f t="shared" si="0"/>
        <v>0.77014042867701404</v>
      </c>
      <c r="X3" s="65">
        <f t="shared" si="0"/>
        <v>0.72236876131367989</v>
      </c>
    </row>
    <row r="4" spans="1:24" ht="33" customHeight="1" x14ac:dyDescent="0.2">
      <c r="A4" s="62" t="s">
        <v>184</v>
      </c>
      <c r="B4" s="61">
        <v>1310</v>
      </c>
      <c r="C4" s="61">
        <v>1529</v>
      </c>
      <c r="D4" s="61">
        <v>1509</v>
      </c>
      <c r="E4" s="61">
        <v>1559</v>
      </c>
      <c r="F4" s="61">
        <v>1438</v>
      </c>
      <c r="G4" s="61">
        <v>1635</v>
      </c>
      <c r="H4" s="61">
        <v>3014</v>
      </c>
      <c r="I4" s="61">
        <v>2376</v>
      </c>
      <c r="J4" s="61">
        <v>3061</v>
      </c>
      <c r="K4" s="61">
        <v>2730</v>
      </c>
      <c r="N4" s="63" t="s">
        <v>189</v>
      </c>
      <c r="O4" s="65">
        <f>1-O3</f>
        <v>8.6673239315872896E-2</v>
      </c>
      <c r="P4" s="65">
        <f>1-P3</f>
        <v>0.14522405423837603</v>
      </c>
      <c r="Q4" s="65">
        <f t="shared" ref="Q4:X4" si="1">1-Q3</f>
        <v>0.14678862277851323</v>
      </c>
      <c r="R4" s="65">
        <f t="shared" si="1"/>
        <v>0.15952890792291219</v>
      </c>
      <c r="S4" s="65">
        <f t="shared" si="1"/>
        <v>0.1432034012794533</v>
      </c>
      <c r="T4" s="65">
        <f t="shared" si="1"/>
        <v>0.18416975728839025</v>
      </c>
      <c r="U4" s="65">
        <f t="shared" si="1"/>
        <v>0.22047058823529408</v>
      </c>
      <c r="V4" s="65">
        <f t="shared" si="1"/>
        <v>0.20514653323802712</v>
      </c>
      <c r="W4" s="65">
        <f t="shared" si="1"/>
        <v>0.22985957132298596</v>
      </c>
      <c r="X4" s="65">
        <f t="shared" si="1"/>
        <v>0.27763123868632011</v>
      </c>
    </row>
    <row r="5" spans="1:24" x14ac:dyDescent="0.2">
      <c r="A5" s="62" t="s">
        <v>185</v>
      </c>
      <c r="B5" s="61">
        <v>1701</v>
      </c>
      <c r="C5" s="61">
        <v>1837</v>
      </c>
      <c r="D5" s="61">
        <v>2150</v>
      </c>
      <c r="E5" s="61">
        <v>2166</v>
      </c>
      <c r="F5" s="61">
        <v>2166</v>
      </c>
      <c r="G5" s="61">
        <v>2288</v>
      </c>
      <c r="H5" s="61">
        <v>2608</v>
      </c>
      <c r="I5" s="61">
        <v>2790</v>
      </c>
      <c r="J5" s="61">
        <v>2848</v>
      </c>
      <c r="K5" s="61">
        <v>2638</v>
      </c>
    </row>
    <row r="6" spans="1:24" x14ac:dyDescent="0.2">
      <c r="A6" s="62" t="s">
        <v>187</v>
      </c>
      <c r="B6" s="61">
        <v>23329</v>
      </c>
      <c r="C6" s="61">
        <v>24927</v>
      </c>
      <c r="D6" s="61">
        <v>24927</v>
      </c>
      <c r="E6" s="61">
        <v>23350</v>
      </c>
      <c r="F6" s="61">
        <v>25167</v>
      </c>
      <c r="G6" s="61">
        <v>21301</v>
      </c>
      <c r="H6" s="61">
        <v>25500</v>
      </c>
      <c r="I6" s="61">
        <v>25182</v>
      </c>
      <c r="J6" s="61">
        <v>25707</v>
      </c>
      <c r="K6" s="61">
        <v>19335</v>
      </c>
    </row>
    <row r="11" spans="1:24" x14ac:dyDescent="0.2">
      <c r="A11" s="66"/>
    </row>
    <row r="20" spans="1:20" ht="18" customHeight="1" x14ac:dyDescent="0.2">
      <c r="A20" s="103"/>
      <c r="B20" s="103"/>
      <c r="C20" s="103"/>
      <c r="D20" s="103"/>
      <c r="E20" s="103"/>
      <c r="F20" s="103"/>
      <c r="G20" s="103"/>
      <c r="H20" s="103"/>
      <c r="I20" s="103"/>
      <c r="J20" s="103"/>
      <c r="K20" s="103"/>
    </row>
    <row r="21" spans="1:20" ht="15" customHeight="1" x14ac:dyDescent="0.2">
      <c r="A21" s="103"/>
      <c r="B21" s="103"/>
      <c r="C21" s="103"/>
      <c r="D21" s="103"/>
      <c r="E21" s="103"/>
      <c r="F21" s="103"/>
      <c r="G21" s="103"/>
      <c r="H21" s="103"/>
      <c r="I21" s="103"/>
      <c r="J21" s="103"/>
      <c r="K21" s="103"/>
    </row>
    <row r="22" spans="1:20" ht="17" customHeight="1" x14ac:dyDescent="0.2">
      <c r="A22" s="103"/>
      <c r="B22" s="103"/>
      <c r="C22" s="103"/>
      <c r="D22" s="103"/>
      <c r="E22" s="103"/>
      <c r="F22" s="103"/>
      <c r="G22" s="103"/>
      <c r="H22" s="103"/>
      <c r="I22" s="103"/>
      <c r="J22" s="103"/>
      <c r="K22" s="103"/>
    </row>
    <row r="23" spans="1:20" ht="15" customHeight="1" x14ac:dyDescent="0.2">
      <c r="A23" s="103"/>
      <c r="B23" s="103"/>
      <c r="C23" s="103"/>
      <c r="D23" s="103"/>
      <c r="E23" s="103"/>
      <c r="F23" s="103"/>
      <c r="G23" s="103"/>
      <c r="H23" s="103"/>
      <c r="I23" s="103"/>
      <c r="J23" s="103"/>
      <c r="K23" s="103"/>
    </row>
    <row r="24" spans="1:20" ht="15" customHeight="1" x14ac:dyDescent="0.2">
      <c r="A24" s="103"/>
      <c r="B24" s="103"/>
      <c r="C24" s="103"/>
      <c r="D24" s="103"/>
      <c r="E24" s="103"/>
      <c r="F24" s="103"/>
      <c r="G24" s="103"/>
      <c r="H24" s="103"/>
      <c r="I24" s="103"/>
      <c r="J24" s="103"/>
      <c r="K24" s="103"/>
    </row>
    <row r="28" spans="1:20" x14ac:dyDescent="0.2">
      <c r="N28" s="60"/>
      <c r="O28" s="64">
        <v>2022</v>
      </c>
      <c r="P28" s="87"/>
      <c r="S28" s="60"/>
      <c r="T28" s="64">
        <v>2025</v>
      </c>
    </row>
    <row r="29" spans="1:20" x14ac:dyDescent="0.2">
      <c r="N29" s="62"/>
      <c r="O29" s="29" t="s">
        <v>180</v>
      </c>
      <c r="P29" s="87"/>
      <c r="S29" s="62"/>
      <c r="T29" s="29" t="s">
        <v>180</v>
      </c>
    </row>
    <row r="30" spans="1:20" ht="31" customHeight="1" x14ac:dyDescent="0.2">
      <c r="N30" s="63" t="s">
        <v>186</v>
      </c>
      <c r="O30" s="61">
        <v>21307</v>
      </c>
      <c r="P30" s="86"/>
      <c r="S30" s="63" t="s">
        <v>186</v>
      </c>
      <c r="T30" s="61">
        <f>K3</f>
        <v>13967</v>
      </c>
    </row>
    <row r="31" spans="1:20" x14ac:dyDescent="0.2">
      <c r="N31" s="62" t="s">
        <v>364</v>
      </c>
      <c r="O31" s="61">
        <f>C4+C5</f>
        <v>3366</v>
      </c>
      <c r="P31" s="86"/>
      <c r="S31" s="62" t="s">
        <v>364</v>
      </c>
      <c r="T31" s="61">
        <f>K4+K5</f>
        <v>5368</v>
      </c>
    </row>
    <row r="32" spans="1:20" x14ac:dyDescent="0.2">
      <c r="N32" s="4"/>
      <c r="O32" s="86"/>
      <c r="P32" s="86"/>
    </row>
    <row r="33" spans="14:16" x14ac:dyDescent="0.2">
      <c r="N33" s="4"/>
      <c r="O33" s="86"/>
      <c r="P33" s="86"/>
    </row>
    <row r="53" spans="1:22" x14ac:dyDescent="0.2">
      <c r="N53" s="101" t="s">
        <v>373</v>
      </c>
      <c r="O53" s="101"/>
      <c r="P53" s="101"/>
      <c r="Q53" s="101"/>
      <c r="R53" s="101"/>
      <c r="S53" s="101"/>
      <c r="T53" s="101"/>
      <c r="U53" s="101"/>
      <c r="V53" s="101"/>
    </row>
    <row r="54" spans="1:22" x14ac:dyDescent="0.2">
      <c r="N54" s="101"/>
      <c r="O54" s="101"/>
      <c r="P54" s="101"/>
      <c r="Q54" s="101"/>
      <c r="R54" s="101"/>
      <c r="S54" s="101"/>
      <c r="T54" s="101"/>
      <c r="U54" s="101"/>
      <c r="V54" s="101"/>
    </row>
    <row r="55" spans="1:22" x14ac:dyDescent="0.2">
      <c r="N55" s="101"/>
      <c r="O55" s="101"/>
      <c r="P55" s="101"/>
      <c r="Q55" s="101"/>
      <c r="R55" s="101"/>
      <c r="S55" s="101"/>
      <c r="T55" s="101"/>
      <c r="U55" s="101"/>
      <c r="V55" s="101"/>
    </row>
    <row r="56" spans="1:22" x14ac:dyDescent="0.2">
      <c r="N56" s="101"/>
      <c r="O56" s="101"/>
      <c r="P56" s="101"/>
      <c r="Q56" s="101"/>
      <c r="R56" s="101"/>
      <c r="S56" s="101"/>
      <c r="T56" s="101"/>
      <c r="U56" s="101"/>
      <c r="V56" s="101"/>
    </row>
    <row r="57" spans="1:22" x14ac:dyDescent="0.2">
      <c r="N57" s="101"/>
      <c r="O57" s="101"/>
      <c r="P57" s="101"/>
      <c r="Q57" s="101"/>
      <c r="R57" s="101"/>
      <c r="S57" s="101"/>
      <c r="T57" s="101"/>
      <c r="U57" s="101"/>
      <c r="V57" s="101"/>
    </row>
    <row r="58" spans="1:22" x14ac:dyDescent="0.2">
      <c r="N58" s="101"/>
      <c r="O58" s="101"/>
      <c r="P58" s="101"/>
      <c r="Q58" s="101"/>
      <c r="R58" s="101"/>
      <c r="S58" s="101"/>
      <c r="T58" s="101"/>
      <c r="U58" s="101"/>
      <c r="V58" s="101"/>
    </row>
    <row r="59" spans="1:22" x14ac:dyDescent="0.2">
      <c r="N59" s="101"/>
      <c r="O59" s="101"/>
      <c r="P59" s="101"/>
      <c r="Q59" s="101"/>
      <c r="R59" s="101"/>
      <c r="S59" s="101"/>
      <c r="T59" s="101"/>
      <c r="U59" s="101"/>
      <c r="V59" s="101"/>
    </row>
    <row r="60" spans="1:22" x14ac:dyDescent="0.2">
      <c r="A60" s="102" t="s">
        <v>198</v>
      </c>
      <c r="B60" s="102"/>
      <c r="C60" s="102"/>
      <c r="D60" s="102"/>
      <c r="E60" s="102"/>
      <c r="F60" s="102"/>
      <c r="G60" s="102"/>
      <c r="H60" s="102"/>
      <c r="N60" s="101"/>
      <c r="O60" s="101"/>
      <c r="P60" s="101"/>
      <c r="Q60" s="101"/>
      <c r="R60" s="101"/>
      <c r="S60" s="101"/>
      <c r="T60" s="101"/>
      <c r="U60" s="101"/>
      <c r="V60" s="101"/>
    </row>
  </sheetData>
  <mergeCells count="11">
    <mergeCell ref="A60:H60"/>
    <mergeCell ref="N53:V60"/>
    <mergeCell ref="A24:K24"/>
    <mergeCell ref="C1:F1"/>
    <mergeCell ref="G1:J1"/>
    <mergeCell ref="P1:S1"/>
    <mergeCell ref="T1:W1"/>
    <mergeCell ref="A20:K20"/>
    <mergeCell ref="A21:K21"/>
    <mergeCell ref="A22:K22"/>
    <mergeCell ref="A23:K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opLeftCell="A24" zoomScale="131" zoomScaleNormal="81" workbookViewId="0">
      <selection activeCell="J42" sqref="J42"/>
    </sheetView>
  </sheetViews>
  <sheetFormatPr baseColWidth="10" defaultColWidth="8.83203125" defaultRowHeight="15" x14ac:dyDescent="0.2"/>
  <cols>
    <col min="1" max="1" width="45.6640625" customWidth="1"/>
    <col min="2" max="6" width="15.6640625" customWidth="1"/>
  </cols>
  <sheetData>
    <row r="1" spans="1:6" x14ac:dyDescent="0.2">
      <c r="A1" s="20"/>
      <c r="B1" s="1">
        <v>2020</v>
      </c>
      <c r="C1" s="1">
        <v>2021</v>
      </c>
      <c r="D1" s="1">
        <v>2022</v>
      </c>
      <c r="E1" s="1">
        <v>2023</v>
      </c>
      <c r="F1" s="1">
        <v>2024</v>
      </c>
    </row>
    <row r="2" spans="1:6" ht="16" x14ac:dyDescent="0.2">
      <c r="A2" s="34" t="s">
        <v>0</v>
      </c>
      <c r="B2" s="34"/>
      <c r="C2" s="34"/>
      <c r="D2" s="34"/>
      <c r="E2" s="34"/>
      <c r="F2" s="34"/>
    </row>
    <row r="3" spans="1:6" x14ac:dyDescent="0.2">
      <c r="A3" s="44" t="s">
        <v>1</v>
      </c>
      <c r="B3" s="44"/>
      <c r="C3" s="44"/>
      <c r="D3" s="44"/>
      <c r="E3" s="44"/>
      <c r="F3" s="44"/>
    </row>
    <row r="4" spans="1:6" x14ac:dyDescent="0.2">
      <c r="A4" s="17" t="s">
        <v>203</v>
      </c>
      <c r="B4" s="17">
        <v>19384000000</v>
      </c>
      <c r="C4" s="17">
        <v>17576000000</v>
      </c>
      <c r="D4" s="17">
        <v>16253000000</v>
      </c>
      <c r="E4" s="17">
        <v>16398000000</v>
      </c>
      <c r="F4" s="17">
        <v>16139000000</v>
      </c>
    </row>
    <row r="5" spans="1:6" x14ac:dyDescent="0.2">
      <c r="A5" s="17" t="s">
        <v>204</v>
      </c>
      <c r="B5" s="17">
        <v>0</v>
      </c>
      <c r="C5" s="17">
        <v>131000000</v>
      </c>
      <c r="D5" s="17">
        <v>5932000000</v>
      </c>
      <c r="E5" s="17">
        <v>12696000000</v>
      </c>
      <c r="F5" s="17">
        <v>20424000000</v>
      </c>
    </row>
    <row r="6" spans="1:6" x14ac:dyDescent="0.2">
      <c r="A6" s="17" t="s">
        <v>205</v>
      </c>
      <c r="B6" s="17">
        <v>19384000000</v>
      </c>
      <c r="C6" s="17">
        <v>17707000000</v>
      </c>
      <c r="D6" s="17">
        <v>22185000000</v>
      </c>
      <c r="E6" s="17">
        <v>29094000000</v>
      </c>
      <c r="F6" s="17">
        <v>36563000000</v>
      </c>
    </row>
    <row r="7" spans="1:6" x14ac:dyDescent="0.2">
      <c r="A7" s="17" t="s">
        <v>206</v>
      </c>
      <c r="B7" s="17">
        <v>1886000000</v>
      </c>
      <c r="C7" s="17">
        <v>1913000000</v>
      </c>
      <c r="D7" s="17">
        <v>2952000000</v>
      </c>
      <c r="E7" s="17">
        <v>3508000000</v>
      </c>
      <c r="F7" s="17">
        <v>4418000000</v>
      </c>
    </row>
    <row r="8" spans="1:6" x14ac:dyDescent="0.2">
      <c r="A8" s="17" t="s">
        <v>207</v>
      </c>
      <c r="B8" s="17">
        <v>4101000000</v>
      </c>
      <c r="C8" s="17">
        <v>5757000000</v>
      </c>
      <c r="D8" s="17">
        <v>12839000000</v>
      </c>
      <c r="E8" s="17">
        <v>13626000000</v>
      </c>
      <c r="F8" s="17">
        <v>12017000000</v>
      </c>
    </row>
    <row r="9" spans="1:6" x14ac:dyDescent="0.2">
      <c r="A9" s="17" t="s">
        <v>208</v>
      </c>
      <c r="B9" s="17">
        <v>1346000000</v>
      </c>
      <c r="C9" s="17">
        <v>1723000000</v>
      </c>
      <c r="D9" s="17">
        <v>2941000000</v>
      </c>
      <c r="E9" s="17">
        <v>3388000000</v>
      </c>
      <c r="F9" s="17">
        <v>5362000000</v>
      </c>
    </row>
    <row r="10" spans="1:6" x14ac:dyDescent="0.2">
      <c r="A10" s="45" t="s">
        <v>8</v>
      </c>
      <c r="B10" s="45">
        <v>26717000000</v>
      </c>
      <c r="C10" s="45">
        <v>27100000000</v>
      </c>
      <c r="D10" s="45">
        <v>40917000000</v>
      </c>
      <c r="E10" s="45">
        <v>49616000000</v>
      </c>
      <c r="F10" s="45">
        <v>58360000000</v>
      </c>
    </row>
    <row r="11" spans="1:6" x14ac:dyDescent="0.2">
      <c r="A11" s="44" t="s">
        <v>9</v>
      </c>
      <c r="B11" s="44"/>
      <c r="C11" s="44"/>
      <c r="D11" s="44"/>
      <c r="E11" s="44"/>
      <c r="F11" s="44"/>
    </row>
    <row r="12" spans="1:6" x14ac:dyDescent="0.2">
      <c r="A12" s="17" t="s">
        <v>209</v>
      </c>
      <c r="B12" s="17">
        <v>23378000000</v>
      </c>
      <c r="C12" s="17">
        <v>31176000000</v>
      </c>
      <c r="D12" s="17">
        <v>36635000000</v>
      </c>
      <c r="E12" s="17">
        <v>45123000000</v>
      </c>
      <c r="F12" s="17">
        <v>51507000000</v>
      </c>
    </row>
    <row r="13" spans="1:6" x14ac:dyDescent="0.2">
      <c r="A13" s="17" t="s">
        <v>210</v>
      </c>
      <c r="B13" s="17">
        <v>207000000</v>
      </c>
      <c r="C13" s="17">
        <v>200000000</v>
      </c>
      <c r="D13" s="17">
        <v>194000000</v>
      </c>
      <c r="E13" s="17">
        <v>253000000</v>
      </c>
      <c r="F13" s="17">
        <v>244000000</v>
      </c>
    </row>
    <row r="14" spans="1:6" x14ac:dyDescent="0.2">
      <c r="A14" s="17" t="s">
        <v>211</v>
      </c>
      <c r="B14" s="17">
        <v>313000000</v>
      </c>
      <c r="C14" s="17">
        <v>1517000000</v>
      </c>
      <c r="D14" s="17">
        <v>399000000</v>
      </c>
      <c r="E14" s="17">
        <v>362000000</v>
      </c>
      <c r="F14" s="17">
        <v>1226000000</v>
      </c>
    </row>
    <row r="15" spans="1:6" x14ac:dyDescent="0.2">
      <c r="A15" s="17" t="s">
        <v>212</v>
      </c>
      <c r="B15" s="17">
        <f>B13+B14</f>
        <v>520000000</v>
      </c>
      <c r="C15" s="17">
        <v>1717000000</v>
      </c>
      <c r="D15" s="17">
        <v>593000000</v>
      </c>
      <c r="E15" s="17">
        <v>615000000</v>
      </c>
      <c r="F15" s="17">
        <v>1470000000</v>
      </c>
    </row>
    <row r="16" spans="1:6" x14ac:dyDescent="0.2">
      <c r="A16" s="17" t="s">
        <v>213</v>
      </c>
      <c r="B16" s="17">
        <v>0</v>
      </c>
      <c r="C16" s="17">
        <v>0</v>
      </c>
      <c r="D16" s="17">
        <v>0</v>
      </c>
      <c r="E16" s="17">
        <v>0</v>
      </c>
      <c r="F16" s="17">
        <v>0</v>
      </c>
    </row>
    <row r="17" spans="1:8" x14ac:dyDescent="0.2">
      <c r="A17" s="17" t="s">
        <v>214</v>
      </c>
      <c r="B17" s="17">
        <v>0</v>
      </c>
      <c r="C17" s="17">
        <v>0</v>
      </c>
      <c r="D17" s="17">
        <v>328000000</v>
      </c>
      <c r="E17" s="17">
        <v>6733000000</v>
      </c>
      <c r="F17" s="17">
        <v>6524000000</v>
      </c>
    </row>
    <row r="18" spans="1:8" x14ac:dyDescent="0.2">
      <c r="A18" s="17" t="s">
        <v>215</v>
      </c>
      <c r="B18" s="17">
        <v>1536000000</v>
      </c>
      <c r="C18" s="17">
        <v>2134000000</v>
      </c>
      <c r="D18" s="17">
        <v>3865000000</v>
      </c>
      <c r="E18" s="17">
        <v>4531000000</v>
      </c>
      <c r="F18" s="17">
        <v>4215000000</v>
      </c>
    </row>
    <row r="19" spans="1:8" x14ac:dyDescent="0.2">
      <c r="A19" s="45" t="s">
        <v>17</v>
      </c>
      <c r="B19" s="45">
        <v>25434000000</v>
      </c>
      <c r="C19" s="45">
        <v>35027000000</v>
      </c>
      <c r="D19" s="45">
        <v>41421000000</v>
      </c>
      <c r="E19" s="45">
        <v>57002000000</v>
      </c>
      <c r="F19" s="45">
        <v>63716000000</v>
      </c>
    </row>
    <row r="20" spans="1:8" x14ac:dyDescent="0.2">
      <c r="A20" s="45" t="s">
        <v>18</v>
      </c>
      <c r="B20" s="45">
        <v>52148000000</v>
      </c>
      <c r="C20" s="45">
        <v>62131000000</v>
      </c>
      <c r="D20" s="45">
        <v>82338000000</v>
      </c>
      <c r="E20" s="45">
        <v>106618000000</v>
      </c>
      <c r="F20" s="45">
        <v>122070000000</v>
      </c>
    </row>
    <row r="21" spans="1:8" x14ac:dyDescent="0.2">
      <c r="A21" s="1"/>
      <c r="B21" s="20"/>
      <c r="C21" s="20"/>
      <c r="D21" s="20"/>
      <c r="E21" s="20"/>
      <c r="F21" s="20"/>
    </row>
    <row r="22" spans="1:8" ht="16" x14ac:dyDescent="0.2">
      <c r="A22" s="34" t="s">
        <v>19</v>
      </c>
      <c r="B22" s="34"/>
      <c r="C22" s="34"/>
      <c r="D22" s="34"/>
      <c r="E22" s="34"/>
      <c r="F22" s="34"/>
    </row>
    <row r="23" spans="1:8" x14ac:dyDescent="0.2">
      <c r="A23" s="44" t="s">
        <v>20</v>
      </c>
      <c r="B23" s="44"/>
      <c r="C23" s="44"/>
      <c r="D23" s="44"/>
      <c r="E23" s="44"/>
      <c r="F23" s="44"/>
    </row>
    <row r="24" spans="1:8" x14ac:dyDescent="0.2">
      <c r="A24" s="17" t="s">
        <v>216</v>
      </c>
      <c r="B24" s="17">
        <v>6051000000</v>
      </c>
      <c r="C24" s="17">
        <v>10025000000</v>
      </c>
      <c r="D24" s="17">
        <v>15255000000</v>
      </c>
      <c r="E24" s="17">
        <v>14431000000</v>
      </c>
      <c r="F24" s="17">
        <v>12474000000</v>
      </c>
    </row>
    <row r="25" spans="1:8" x14ac:dyDescent="0.2">
      <c r="A25" s="17" t="s">
        <v>217</v>
      </c>
      <c r="B25" s="17">
        <v>2792000000</v>
      </c>
      <c r="C25" s="17">
        <v>4229000000</v>
      </c>
      <c r="D25" s="17">
        <v>5422000000</v>
      </c>
      <c r="E25" s="17">
        <v>6328000000</v>
      </c>
      <c r="F25" s="17">
        <v>8923000000</v>
      </c>
    </row>
    <row r="26" spans="1:8" x14ac:dyDescent="0.2">
      <c r="A26" s="17" t="s">
        <v>218</v>
      </c>
      <c r="B26" s="17">
        <v>2210000000</v>
      </c>
      <c r="C26" s="17">
        <v>2372000000</v>
      </c>
      <c r="D26" s="17">
        <v>2810000000</v>
      </c>
      <c r="E26" s="17">
        <v>3740000000</v>
      </c>
      <c r="F26" s="17">
        <v>4161000000</v>
      </c>
      <c r="H26" s="6">
        <f>F26/'Historical IS'!F3</f>
        <v>4.259391954140649E-2</v>
      </c>
    </row>
    <row r="27" spans="1:8" x14ac:dyDescent="0.2">
      <c r="A27" s="17" t="s">
        <v>219</v>
      </c>
      <c r="B27" s="17">
        <v>2418000000</v>
      </c>
      <c r="C27" s="17">
        <v>1957000000</v>
      </c>
      <c r="D27" s="17">
        <v>1987000000</v>
      </c>
      <c r="E27" s="17">
        <v>3045000000</v>
      </c>
      <c r="F27" s="17">
        <v>3263000000</v>
      </c>
    </row>
    <row r="28" spans="1:8" x14ac:dyDescent="0.2">
      <c r="A28" s="17" t="s">
        <v>220</v>
      </c>
      <c r="B28" s="17">
        <v>777000000</v>
      </c>
      <c r="C28" s="17">
        <v>1122000000</v>
      </c>
      <c r="D28" s="17">
        <v>1235000000</v>
      </c>
      <c r="E28" s="17">
        <v>1204000000</v>
      </c>
      <c r="F28" s="17">
        <v>0</v>
      </c>
    </row>
    <row r="29" spans="1:8" x14ac:dyDescent="0.2">
      <c r="A29" s="45" t="s">
        <v>26</v>
      </c>
      <c r="B29" s="45">
        <v>14248000000</v>
      </c>
      <c r="C29" s="45">
        <v>19705000000</v>
      </c>
      <c r="D29" s="45">
        <v>26709000000</v>
      </c>
      <c r="E29" s="45">
        <v>28748000000</v>
      </c>
      <c r="F29" s="45">
        <v>28821000000</v>
      </c>
    </row>
    <row r="30" spans="1:8" x14ac:dyDescent="0.2">
      <c r="A30" s="44" t="s">
        <v>27</v>
      </c>
      <c r="B30" s="44"/>
      <c r="C30" s="44"/>
      <c r="D30" s="44"/>
      <c r="E30" s="44"/>
      <c r="F30" s="44"/>
    </row>
    <row r="31" spans="1:8" x14ac:dyDescent="0.2">
      <c r="A31" s="17" t="s">
        <v>221</v>
      </c>
      <c r="B31" s="17">
        <v>10861000000</v>
      </c>
      <c r="C31" s="17">
        <v>6916000000</v>
      </c>
      <c r="D31" s="17">
        <v>3761000000</v>
      </c>
      <c r="E31" s="17">
        <v>6528000000</v>
      </c>
      <c r="F31" s="17">
        <v>10360000000</v>
      </c>
    </row>
    <row r="32" spans="1:8" x14ac:dyDescent="0.2">
      <c r="A32" s="45" t="s">
        <v>29</v>
      </c>
      <c r="B32" s="45">
        <v>3008000000</v>
      </c>
      <c r="C32" s="45">
        <v>3531000000</v>
      </c>
      <c r="D32" s="45">
        <v>3703000000</v>
      </c>
      <c r="E32" s="45">
        <v>4916000000</v>
      </c>
      <c r="F32" s="45">
        <v>5745000000</v>
      </c>
    </row>
    <row r="33" spans="1:8" x14ac:dyDescent="0.2">
      <c r="A33" s="17" t="s">
        <v>222</v>
      </c>
      <c r="B33" s="17">
        <v>1284000000</v>
      </c>
      <c r="C33" s="17">
        <v>2052000000</v>
      </c>
      <c r="D33" s="17">
        <v>2804000000</v>
      </c>
      <c r="E33" s="17">
        <v>3251000000</v>
      </c>
      <c r="F33" s="17">
        <v>3317000000</v>
      </c>
      <c r="H33" s="6">
        <f>F33/'Historical IS'!F3</f>
        <v>3.3954345378237279E-2</v>
      </c>
    </row>
    <row r="34" spans="1:8" x14ac:dyDescent="0.2">
      <c r="A34" s="17" t="s">
        <v>223</v>
      </c>
      <c r="B34" s="17">
        <v>151000000</v>
      </c>
      <c r="C34" s="17">
        <v>24000000</v>
      </c>
      <c r="D34" s="17">
        <v>82000000</v>
      </c>
      <c r="E34" s="17">
        <v>0</v>
      </c>
      <c r="F34" s="17">
        <v>0</v>
      </c>
    </row>
    <row r="35" spans="1:8" x14ac:dyDescent="0.2">
      <c r="A35" s="17" t="s">
        <v>224</v>
      </c>
      <c r="B35" s="17">
        <v>1925000000</v>
      </c>
      <c r="C35" s="17">
        <v>1875000000</v>
      </c>
      <c r="D35" s="17">
        <v>3084000000</v>
      </c>
      <c r="E35" s="17">
        <v>4482000000</v>
      </c>
      <c r="F35" s="17">
        <v>5892000000</v>
      </c>
    </row>
    <row r="36" spans="1:8" x14ac:dyDescent="0.2">
      <c r="A36" s="45" t="s">
        <v>33</v>
      </c>
      <c r="B36" s="45">
        <v>14221000000</v>
      </c>
      <c r="C36" s="45">
        <v>10843000000</v>
      </c>
      <c r="D36" s="45">
        <v>9731000000</v>
      </c>
      <c r="E36" s="45">
        <v>14261000000</v>
      </c>
      <c r="F36" s="45">
        <v>19569000000</v>
      </c>
    </row>
    <row r="37" spans="1:8" x14ac:dyDescent="0.2">
      <c r="A37" s="45" t="s">
        <v>34</v>
      </c>
      <c r="B37" s="45">
        <v>28469000000</v>
      </c>
      <c r="C37" s="45">
        <v>30548000000</v>
      </c>
      <c r="D37" s="45">
        <v>36440000000</v>
      </c>
      <c r="E37" s="45">
        <v>43009000000</v>
      </c>
      <c r="F37" s="45">
        <v>48390000000</v>
      </c>
    </row>
    <row r="38" spans="1:8" x14ac:dyDescent="0.2">
      <c r="A38" s="44" t="s">
        <v>35</v>
      </c>
      <c r="B38" s="44"/>
      <c r="C38" s="44"/>
      <c r="D38" s="44"/>
      <c r="E38" s="44"/>
      <c r="F38" s="44"/>
    </row>
    <row r="39" spans="1:8" x14ac:dyDescent="0.2">
      <c r="A39" s="17" t="s">
        <v>225</v>
      </c>
      <c r="B39" s="17">
        <v>1000000</v>
      </c>
      <c r="C39" s="17">
        <v>1000000</v>
      </c>
      <c r="D39" s="17">
        <v>3000000</v>
      </c>
      <c r="E39" s="17">
        <v>3000000</v>
      </c>
      <c r="F39" s="17">
        <v>3000000</v>
      </c>
    </row>
    <row r="40" spans="1:8" x14ac:dyDescent="0.2">
      <c r="A40" s="17" t="s">
        <v>226</v>
      </c>
      <c r="B40" s="17">
        <v>-5399000000</v>
      </c>
      <c r="C40" s="17">
        <v>329000000</v>
      </c>
      <c r="D40" s="17">
        <v>12885000000</v>
      </c>
      <c r="E40" s="17">
        <v>27882000000</v>
      </c>
      <c r="F40" s="17">
        <v>35209000000</v>
      </c>
    </row>
    <row r="41" spans="1:8" x14ac:dyDescent="0.2">
      <c r="A41" s="17" t="s">
        <v>227</v>
      </c>
      <c r="B41" s="17">
        <v>363000000</v>
      </c>
      <c r="C41" s="17">
        <v>54000000</v>
      </c>
      <c r="D41" s="17">
        <v>-361000000</v>
      </c>
      <c r="E41" s="17">
        <v>-143000000</v>
      </c>
      <c r="F41" s="17">
        <v>-670000000</v>
      </c>
    </row>
    <row r="42" spans="1:8" x14ac:dyDescent="0.2">
      <c r="A42" s="17" t="s">
        <v>228</v>
      </c>
      <c r="B42" s="17">
        <v>27260000000</v>
      </c>
      <c r="C42" s="17">
        <v>29805000000</v>
      </c>
      <c r="D42" s="17">
        <v>32177000000</v>
      </c>
      <c r="E42" s="17">
        <v>34892000000</v>
      </c>
      <c r="F42" s="17">
        <v>38371000000</v>
      </c>
    </row>
    <row r="43" spans="1:8" x14ac:dyDescent="0.2">
      <c r="A43" s="45" t="s">
        <v>40</v>
      </c>
      <c r="B43" s="45">
        <v>22225000000</v>
      </c>
      <c r="C43" s="45">
        <v>30189000000</v>
      </c>
      <c r="D43" s="45">
        <v>44704000000</v>
      </c>
      <c r="E43" s="45">
        <v>62634000000</v>
      </c>
      <c r="F43" s="45">
        <v>72913000000</v>
      </c>
    </row>
    <row r="44" spans="1:8" x14ac:dyDescent="0.2">
      <c r="A44" s="17" t="s">
        <v>272</v>
      </c>
      <c r="B44" s="17">
        <v>1454000000</v>
      </c>
      <c r="C44" s="17">
        <v>1394000000</v>
      </c>
      <c r="D44" s="17">
        <v>1194000000</v>
      </c>
      <c r="E44" s="17">
        <v>975000000</v>
      </c>
      <c r="F44" s="17">
        <v>767000000</v>
      </c>
    </row>
    <row r="45" spans="1:8" x14ac:dyDescent="0.2">
      <c r="A45" s="45" t="s">
        <v>42</v>
      </c>
      <c r="B45" s="45">
        <v>23679000000</v>
      </c>
      <c r="C45" s="45">
        <v>31583000000</v>
      </c>
      <c r="D45" s="45">
        <v>45898000000</v>
      </c>
      <c r="E45" s="45">
        <v>63609000000</v>
      </c>
      <c r="F45" s="45">
        <v>73680000000</v>
      </c>
    </row>
    <row r="46" spans="1:8" x14ac:dyDescent="0.2">
      <c r="A46" s="45" t="s">
        <v>43</v>
      </c>
      <c r="B46" s="45">
        <v>52148000000</v>
      </c>
      <c r="C46" s="45">
        <v>62131000000</v>
      </c>
      <c r="D46" s="45">
        <v>82338000000</v>
      </c>
      <c r="E46" s="45">
        <v>106618000000</v>
      </c>
      <c r="F46" s="45">
        <v>122070000000</v>
      </c>
    </row>
    <row r="47" spans="1:8" x14ac:dyDescent="0.2">
      <c r="A47" s="20"/>
      <c r="B47" s="20"/>
      <c r="C47" s="20"/>
      <c r="D47" s="20"/>
      <c r="E47" s="20"/>
      <c r="F47" s="20"/>
    </row>
    <row r="48" spans="1:8" x14ac:dyDescent="0.2">
      <c r="A48" s="84" t="s">
        <v>92</v>
      </c>
      <c r="B48" s="17">
        <f xml:space="preserve"> (B6 + B7 + B8 + B9) - (B24 + B25 + B26)</f>
        <v>15664000000</v>
      </c>
      <c r="C48" s="17">
        <f t="shared" ref="C48:F48" si="0" xml:space="preserve"> (C6 + C7 + C8 + C9) - (C24 + C25 + C26)</f>
        <v>10474000000</v>
      </c>
      <c r="D48" s="17">
        <f t="shared" si="0"/>
        <v>17430000000</v>
      </c>
      <c r="E48" s="17">
        <f t="shared" si="0"/>
        <v>25117000000</v>
      </c>
      <c r="F48" s="17">
        <f t="shared" si="0"/>
        <v>32802000000</v>
      </c>
    </row>
    <row r="49" spans="1:6" x14ac:dyDescent="0.2">
      <c r="A49" s="15" t="s">
        <v>93</v>
      </c>
      <c r="B49" s="9" t="s">
        <v>94</v>
      </c>
      <c r="C49" s="17">
        <f>C48-B48</f>
        <v>-5190000000</v>
      </c>
      <c r="D49" s="17">
        <f>D48-C48</f>
        <v>6956000000</v>
      </c>
      <c r="E49" s="17">
        <f>E48-D48</f>
        <v>7687000000</v>
      </c>
      <c r="F49" s="17">
        <f>F48-E48</f>
        <v>7685000000</v>
      </c>
    </row>
    <row r="50" spans="1:6" x14ac:dyDescent="0.2">
      <c r="A50" s="15" t="s">
        <v>95</v>
      </c>
      <c r="B50" s="17">
        <f>B48+B12+B14</f>
        <v>39355000000</v>
      </c>
      <c r="C50" s="17">
        <f t="shared" ref="C50:F50" si="1">C48+C12+C14</f>
        <v>43167000000</v>
      </c>
      <c r="D50" s="17">
        <f t="shared" si="1"/>
        <v>54464000000</v>
      </c>
      <c r="E50" s="17">
        <f t="shared" si="1"/>
        <v>70602000000</v>
      </c>
      <c r="F50" s="17">
        <f t="shared" si="1"/>
        <v>85535000000</v>
      </c>
    </row>
    <row r="51" spans="1:6" x14ac:dyDescent="0.2">
      <c r="A51" s="15" t="s">
        <v>96</v>
      </c>
      <c r="B51" s="17">
        <f>'Historical BS'!B27 + 'Historical BS'!B31 + 'Historical BS'!B32</f>
        <v>16287000000</v>
      </c>
      <c r="C51" s="17">
        <f>'Historical BS'!C27 + 'Historical BS'!C31 + 'Historical BS'!C32</f>
        <v>12404000000</v>
      </c>
      <c r="D51" s="17">
        <f>'Historical BS'!D27 + 'Historical BS'!D31 + 'Historical BS'!D32</f>
        <v>9451000000</v>
      </c>
      <c r="E51" s="17">
        <f>'Historical BS'!E27 + 'Historical BS'!E31 + 'Historical BS'!E32</f>
        <v>14489000000</v>
      </c>
      <c r="F51" s="17">
        <f>'Historical BS'!F27 + 'Historical BS'!F31 + 'Historical BS'!F32</f>
        <v>19368000000</v>
      </c>
    </row>
    <row r="52" spans="1:6" x14ac:dyDescent="0.2">
      <c r="A52" s="15" t="s">
        <v>97</v>
      </c>
      <c r="B52" s="17">
        <f>'Historical BS'!B45 + 'Historical BS'!B51</f>
        <v>39966000000</v>
      </c>
      <c r="C52" s="17">
        <f>'Historical BS'!C45 + 'Historical BS'!C51</f>
        <v>43987000000</v>
      </c>
      <c r="D52" s="17">
        <f>'Historical BS'!D45 + 'Historical BS'!D51</f>
        <v>55349000000</v>
      </c>
      <c r="E52" s="17">
        <f>'Historical BS'!E45 + 'Historical BS'!E51</f>
        <v>78098000000</v>
      </c>
      <c r="F52" s="17">
        <f>'Historical BS'!F45 + 'Historical BS'!F51</f>
        <v>93048000000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2"/>
  <sheetViews>
    <sheetView topLeftCell="A2" zoomScale="125" workbookViewId="0">
      <selection activeCell="H17" sqref="H17"/>
    </sheetView>
  </sheetViews>
  <sheetFormatPr baseColWidth="10" defaultColWidth="8.83203125" defaultRowHeight="15" x14ac:dyDescent="0.2"/>
  <cols>
    <col min="1" max="1" width="45.6640625" customWidth="1"/>
    <col min="2" max="6" width="15.6640625" customWidth="1"/>
    <col min="8" max="8" width="14.1640625" bestFit="1" customWidth="1"/>
  </cols>
  <sheetData>
    <row r="1" spans="1:8" x14ac:dyDescent="0.2">
      <c r="A1" s="20"/>
      <c r="B1" s="1">
        <v>2020</v>
      </c>
      <c r="C1" s="1">
        <v>2021</v>
      </c>
      <c r="D1" s="1">
        <v>2022</v>
      </c>
      <c r="E1" s="1">
        <v>2023</v>
      </c>
      <c r="F1" s="1">
        <v>2024</v>
      </c>
    </row>
    <row r="2" spans="1:8" ht="16" x14ac:dyDescent="0.2">
      <c r="A2" s="34" t="s">
        <v>75</v>
      </c>
      <c r="B2" s="34"/>
      <c r="C2" s="34"/>
      <c r="D2" s="34"/>
      <c r="E2" s="34"/>
      <c r="F2" s="34"/>
    </row>
    <row r="3" spans="1:8" x14ac:dyDescent="0.2">
      <c r="A3" s="45" t="s">
        <v>68</v>
      </c>
      <c r="B3" s="45">
        <f>'Historical IS'!B32</f>
        <v>721000000</v>
      </c>
      <c r="C3" s="45">
        <f>'Historical IS'!C32</f>
        <v>5524000000</v>
      </c>
      <c r="D3" s="45">
        <f>'Historical IS'!D32</f>
        <v>12583000000</v>
      </c>
      <c r="E3" s="45">
        <f>'Historical IS'!E32</f>
        <v>14999000000</v>
      </c>
      <c r="F3" s="45">
        <f>'Historical IS'!F32</f>
        <v>7130000000</v>
      </c>
    </row>
    <row r="4" spans="1:8" x14ac:dyDescent="0.2">
      <c r="A4" s="44" t="s">
        <v>76</v>
      </c>
      <c r="B4" s="44"/>
      <c r="C4" s="44"/>
      <c r="D4" s="44"/>
      <c r="E4" s="44"/>
      <c r="F4" s="44"/>
    </row>
    <row r="5" spans="1:8" x14ac:dyDescent="0.2">
      <c r="A5" s="17" t="s">
        <v>246</v>
      </c>
      <c r="B5" s="17">
        <v>2322000000</v>
      </c>
      <c r="C5" s="17">
        <v>2911000000</v>
      </c>
      <c r="D5" s="17">
        <v>3543000000</v>
      </c>
      <c r="E5" s="17">
        <v>4667000000</v>
      </c>
      <c r="F5" s="17">
        <v>5368000000</v>
      </c>
      <c r="H5">
        <f>F5/'Historical IS'!F3</f>
        <v>5.4949329511720747E-2</v>
      </c>
    </row>
    <row r="6" spans="1:8" x14ac:dyDescent="0.2">
      <c r="A6" s="17" t="s">
        <v>247</v>
      </c>
      <c r="B6" s="17">
        <v>1734000000</v>
      </c>
      <c r="C6" s="17">
        <v>2121000000</v>
      </c>
      <c r="D6" s="17">
        <v>1560000000</v>
      </c>
      <c r="E6" s="17">
        <v>1812000000</v>
      </c>
      <c r="F6" s="17">
        <v>1999000000</v>
      </c>
    </row>
    <row r="7" spans="1:8" x14ac:dyDescent="0.2">
      <c r="A7" s="17" t="s">
        <v>248</v>
      </c>
      <c r="B7" s="17">
        <v>0</v>
      </c>
      <c r="C7" s="17">
        <v>-149000000</v>
      </c>
      <c r="D7" s="17">
        <v>0</v>
      </c>
      <c r="E7" s="17">
        <v>-6349000000</v>
      </c>
      <c r="F7" s="17">
        <v>477000000</v>
      </c>
    </row>
    <row r="8" spans="1:8" x14ac:dyDescent="0.2">
      <c r="A8" s="17" t="s">
        <v>249</v>
      </c>
      <c r="B8" s="17">
        <v>1013000000</v>
      </c>
      <c r="C8" s="17">
        <v>428000000</v>
      </c>
      <c r="D8" s="17">
        <v>777000000</v>
      </c>
      <c r="E8" s="17">
        <v>400000000</v>
      </c>
      <c r="F8" s="17">
        <v>-155000000</v>
      </c>
    </row>
    <row r="9" spans="1:8" x14ac:dyDescent="0.2">
      <c r="A9" s="44" t="s">
        <v>77</v>
      </c>
      <c r="B9" s="44"/>
      <c r="C9" s="44"/>
      <c r="D9" s="44"/>
      <c r="E9" s="44"/>
      <c r="F9" s="44"/>
    </row>
    <row r="10" spans="1:8" x14ac:dyDescent="0.2">
      <c r="A10" s="17" t="s">
        <v>250</v>
      </c>
      <c r="B10" s="17">
        <v>-652000000</v>
      </c>
      <c r="C10" s="17">
        <v>-130000000</v>
      </c>
      <c r="D10" s="17">
        <v>-1124000000</v>
      </c>
      <c r="E10" s="17">
        <v>-586000000</v>
      </c>
      <c r="F10" s="17">
        <v>-1083000000</v>
      </c>
    </row>
    <row r="11" spans="1:8" x14ac:dyDescent="0.2">
      <c r="A11" s="17" t="s">
        <v>251</v>
      </c>
      <c r="B11" s="17">
        <v>-422000000</v>
      </c>
      <c r="C11" s="17">
        <v>-1709000000</v>
      </c>
      <c r="D11" s="17">
        <v>-6465000000</v>
      </c>
      <c r="E11" s="17">
        <v>-1195000000</v>
      </c>
      <c r="F11" s="17">
        <v>937000000</v>
      </c>
    </row>
    <row r="12" spans="1:8" x14ac:dyDescent="0.2">
      <c r="A12" s="17" t="s">
        <v>252</v>
      </c>
      <c r="B12" s="17">
        <v>930000000</v>
      </c>
      <c r="C12" s="17">
        <v>4578000000</v>
      </c>
      <c r="D12" s="17">
        <v>6029000000</v>
      </c>
      <c r="E12" s="17">
        <v>2605000000</v>
      </c>
      <c r="F12" s="17">
        <v>3588000000</v>
      </c>
    </row>
    <row r="13" spans="1:8" x14ac:dyDescent="0.2">
      <c r="A13" s="17" t="s">
        <v>253</v>
      </c>
      <c r="B13" s="17">
        <v>328000000</v>
      </c>
      <c r="C13" s="17">
        <v>-2072000000</v>
      </c>
      <c r="D13" s="17">
        <v>-2152000000</v>
      </c>
      <c r="E13" s="17">
        <v>-3072000000</v>
      </c>
      <c r="F13" s="17">
        <v>-3361000000</v>
      </c>
    </row>
    <row r="14" spans="1:8" x14ac:dyDescent="0.2">
      <c r="A14" s="17" t="s">
        <v>254</v>
      </c>
      <c r="B14" s="17">
        <v>184000000</v>
      </c>
      <c r="C14" s="17">
        <v>667000000</v>
      </c>
      <c r="D14" s="17">
        <v>-3712000000</v>
      </c>
      <c r="E14" s="17">
        <v>-2248000000</v>
      </c>
      <c r="F14" s="17">
        <v>81000000</v>
      </c>
    </row>
    <row r="15" spans="1:8" x14ac:dyDescent="0.2">
      <c r="A15" s="45" t="s">
        <v>78</v>
      </c>
      <c r="B15" s="45">
        <v>5943000000</v>
      </c>
      <c r="C15" s="45">
        <v>11497000000</v>
      </c>
      <c r="D15" s="45">
        <v>14724000000</v>
      </c>
      <c r="E15" s="45">
        <v>13256000000</v>
      </c>
      <c r="F15" s="45">
        <v>14923000000</v>
      </c>
      <c r="H15" s="2"/>
    </row>
    <row r="16" spans="1:8" x14ac:dyDescent="0.2">
      <c r="A16" s="1"/>
      <c r="B16" s="17"/>
      <c r="C16" s="20"/>
      <c r="D16" s="20"/>
      <c r="E16" s="20"/>
      <c r="F16" s="20"/>
    </row>
    <row r="17" spans="1:14" ht="16" x14ac:dyDescent="0.2">
      <c r="A17" s="34" t="s">
        <v>79</v>
      </c>
      <c r="B17" s="34"/>
      <c r="C17" s="34"/>
      <c r="D17" s="34"/>
      <c r="E17" s="34"/>
      <c r="F17" s="34"/>
      <c r="H17" s="6">
        <f>B18/'Historical IS'!B3</f>
        <v>-0.10248604769152714</v>
      </c>
      <c r="I17" s="6">
        <f>C18/'Historical IS'!C3</f>
        <v>-0.12102632703491073</v>
      </c>
      <c r="J17" s="6">
        <f>D18/'Historical IS'!D3</f>
        <v>-8.7930568854189678E-2</v>
      </c>
      <c r="K17" s="6">
        <f>E18/'Historical IS'!E3</f>
        <v>-9.1957467475432195E-2</v>
      </c>
      <c r="L17" s="6">
        <f>F18/'Historical IS'!F3</f>
        <v>-0.11610195516429522</v>
      </c>
      <c r="M17" s="6">
        <f>H17+I17+J17+K17+L17</f>
        <v>-0.51950236622035495</v>
      </c>
      <c r="N17" s="6">
        <f>M17/5</f>
        <v>-0.10390047324407099</v>
      </c>
    </row>
    <row r="18" spans="1:14" x14ac:dyDescent="0.2">
      <c r="A18" s="17" t="s">
        <v>255</v>
      </c>
      <c r="B18" s="17">
        <v>-3232000000</v>
      </c>
      <c r="C18" s="17">
        <v>-6514000000</v>
      </c>
      <c r="D18" s="17">
        <v>-7163000000</v>
      </c>
      <c r="E18" s="17">
        <v>-8899000000</v>
      </c>
      <c r="F18" s="17">
        <v>-11342000000</v>
      </c>
    </row>
    <row r="19" spans="1:14" x14ac:dyDescent="0.2">
      <c r="A19" s="17" t="s">
        <v>256</v>
      </c>
      <c r="B19" s="17">
        <v>0</v>
      </c>
      <c r="C19" s="17">
        <v>-132000000</v>
      </c>
      <c r="D19" s="17">
        <v>-5835000000</v>
      </c>
      <c r="E19" s="17">
        <v>-19112000000</v>
      </c>
      <c r="F19" s="17">
        <v>-35955000000</v>
      </c>
    </row>
    <row r="20" spans="1:14" x14ac:dyDescent="0.2">
      <c r="A20" s="17" t="s">
        <v>257</v>
      </c>
      <c r="B20" s="17">
        <v>0</v>
      </c>
      <c r="C20" s="17">
        <v>0</v>
      </c>
      <c r="D20" s="17">
        <v>22000000</v>
      </c>
      <c r="E20" s="17">
        <v>12491000000</v>
      </c>
      <c r="F20" s="17">
        <v>28510000000</v>
      </c>
    </row>
    <row r="21" spans="1:14" x14ac:dyDescent="0.2">
      <c r="A21" s="17" t="s">
        <v>258</v>
      </c>
      <c r="B21" s="17">
        <v>-13000000</v>
      </c>
      <c r="C21" s="17">
        <v>0</v>
      </c>
      <c r="D21" s="17">
        <v>0</v>
      </c>
      <c r="E21" s="17">
        <v>-64000000</v>
      </c>
      <c r="F21" s="17">
        <v>0</v>
      </c>
    </row>
    <row r="22" spans="1:14" x14ac:dyDescent="0.2">
      <c r="A22" s="17" t="s">
        <v>259</v>
      </c>
      <c r="B22" s="17">
        <v>113000000</v>
      </c>
      <c r="C22" s="17">
        <v>-1222000000</v>
      </c>
      <c r="D22" s="17">
        <v>1003000000</v>
      </c>
      <c r="E22" s="17">
        <v>0</v>
      </c>
      <c r="F22" s="17">
        <v>0</v>
      </c>
    </row>
    <row r="23" spans="1:14" x14ac:dyDescent="0.2">
      <c r="A23" s="45" t="s">
        <v>80</v>
      </c>
      <c r="B23" s="45">
        <v>-3132000000</v>
      </c>
      <c r="C23" s="45">
        <v>-7868000000</v>
      </c>
      <c r="D23" s="45">
        <v>-11973000000</v>
      </c>
      <c r="E23" s="45">
        <v>-15584000000</v>
      </c>
      <c r="F23" s="45">
        <v>-18787000000</v>
      </c>
    </row>
    <row r="24" spans="1:14" x14ac:dyDescent="0.2">
      <c r="A24" s="1"/>
      <c r="B24" s="20"/>
      <c r="C24" s="20"/>
      <c r="D24" s="20"/>
      <c r="E24" s="20"/>
      <c r="F24" s="20"/>
    </row>
    <row r="25" spans="1:14" ht="16" x14ac:dyDescent="0.2">
      <c r="A25" s="34" t="s">
        <v>81</v>
      </c>
      <c r="B25" s="34"/>
      <c r="C25" s="34"/>
      <c r="D25" s="34"/>
      <c r="E25" s="34"/>
      <c r="F25" s="34"/>
    </row>
    <row r="26" spans="1:14" x14ac:dyDescent="0.2">
      <c r="A26" s="17" t="s">
        <v>260</v>
      </c>
      <c r="B26" s="17">
        <v>12269000000</v>
      </c>
      <c r="C26" s="17">
        <v>0</v>
      </c>
      <c r="D26" s="17">
        <v>0</v>
      </c>
      <c r="E26" s="17">
        <v>0</v>
      </c>
      <c r="F26" s="17">
        <v>0</v>
      </c>
    </row>
    <row r="27" spans="1:14" x14ac:dyDescent="0.2">
      <c r="A27" s="17" t="s">
        <v>261</v>
      </c>
      <c r="B27" s="17">
        <v>0</v>
      </c>
      <c r="C27" s="17">
        <v>0</v>
      </c>
      <c r="D27" s="17">
        <v>0</v>
      </c>
      <c r="E27" s="17">
        <v>0</v>
      </c>
      <c r="F27" s="17">
        <v>0</v>
      </c>
    </row>
    <row r="28" spans="1:14" x14ac:dyDescent="0.2">
      <c r="A28" s="17" t="s">
        <v>262</v>
      </c>
      <c r="B28" s="17">
        <v>-2488000000</v>
      </c>
      <c r="C28" s="17">
        <v>-5732000000</v>
      </c>
      <c r="D28" s="17">
        <v>-3866000000</v>
      </c>
      <c r="E28" s="17">
        <v>2116000000</v>
      </c>
      <c r="F28" s="17">
        <v>2863000000</v>
      </c>
    </row>
    <row r="29" spans="1:14" x14ac:dyDescent="0.2">
      <c r="A29" s="17" t="s">
        <v>263</v>
      </c>
      <c r="B29" s="17">
        <v>0</v>
      </c>
      <c r="C29" s="17">
        <v>0</v>
      </c>
      <c r="D29" s="17">
        <v>0</v>
      </c>
      <c r="E29" s="17">
        <v>0</v>
      </c>
      <c r="F29" s="17">
        <v>0</v>
      </c>
    </row>
    <row r="30" spans="1:14" x14ac:dyDescent="0.2">
      <c r="A30" s="17" t="s">
        <v>264</v>
      </c>
      <c r="B30" s="17">
        <v>192000000</v>
      </c>
      <c r="C30" s="17">
        <v>-178000000</v>
      </c>
      <c r="D30" s="17">
        <v>-202000000</v>
      </c>
      <c r="E30" s="17">
        <v>473000000</v>
      </c>
      <c r="F30" s="17">
        <v>990000000</v>
      </c>
    </row>
    <row r="31" spans="1:14" x14ac:dyDescent="0.2">
      <c r="A31" s="45" t="s">
        <v>82</v>
      </c>
      <c r="B31" s="45">
        <v>9973000000</v>
      </c>
      <c r="C31" s="45">
        <v>-5203000000</v>
      </c>
      <c r="D31" s="45">
        <v>-3527000000</v>
      </c>
      <c r="E31" s="45">
        <v>2589000000</v>
      </c>
      <c r="F31" s="45">
        <v>3853000000</v>
      </c>
    </row>
    <row r="32" spans="1:14" x14ac:dyDescent="0.2">
      <c r="A32" s="1"/>
      <c r="B32" s="20"/>
      <c r="C32" s="20"/>
      <c r="D32" s="20"/>
      <c r="E32" s="20"/>
      <c r="F32" s="20"/>
    </row>
    <row r="33" spans="1:6" x14ac:dyDescent="0.2">
      <c r="A33" s="17" t="s">
        <v>265</v>
      </c>
      <c r="B33" s="17">
        <v>334000000</v>
      </c>
      <c r="C33" s="17">
        <v>-183000000</v>
      </c>
      <c r="D33" s="17">
        <v>-444000000</v>
      </c>
      <c r="E33" s="17">
        <v>4000000</v>
      </c>
      <c r="F33" s="17">
        <v>-141000000</v>
      </c>
    </row>
    <row r="34" spans="1:6" x14ac:dyDescent="0.2">
      <c r="A34" s="1"/>
      <c r="B34" s="20"/>
      <c r="C34" s="20"/>
      <c r="D34" s="20"/>
      <c r="E34" s="20"/>
      <c r="F34" s="20"/>
    </row>
    <row r="35" spans="1:6" x14ac:dyDescent="0.2">
      <c r="A35" s="17" t="s">
        <v>266</v>
      </c>
      <c r="B35" s="17">
        <v>13118000000</v>
      </c>
      <c r="C35" s="17">
        <v>-1757000000</v>
      </c>
      <c r="D35" s="17">
        <v>-1220000000</v>
      </c>
      <c r="E35" s="17">
        <v>265000000</v>
      </c>
      <c r="F35" s="17">
        <v>-152000000</v>
      </c>
    </row>
    <row r="36" spans="1:6" x14ac:dyDescent="0.2">
      <c r="A36" s="17" t="s">
        <v>267</v>
      </c>
      <c r="B36" s="17">
        <v>6783000000</v>
      </c>
      <c r="C36" s="17">
        <v>19901000000</v>
      </c>
      <c r="D36" s="17">
        <v>18144000000</v>
      </c>
      <c r="E36" s="17">
        <v>16924000000</v>
      </c>
      <c r="F36" s="17">
        <v>17189000000</v>
      </c>
    </row>
    <row r="37" spans="1:6" x14ac:dyDescent="0.2">
      <c r="A37" s="17" t="s">
        <v>268</v>
      </c>
      <c r="B37" s="17">
        <v>19901000000</v>
      </c>
      <c r="C37" s="17">
        <v>18144000000</v>
      </c>
      <c r="D37" s="17">
        <v>16924000000</v>
      </c>
      <c r="E37" s="17">
        <v>17189000000</v>
      </c>
      <c r="F37" s="17">
        <v>17037000000</v>
      </c>
    </row>
    <row r="38" spans="1:6" x14ac:dyDescent="0.2">
      <c r="A38" s="1"/>
      <c r="B38" s="17"/>
      <c r="C38" s="20"/>
      <c r="D38" s="20"/>
      <c r="E38" s="20"/>
      <c r="F38" s="20"/>
    </row>
    <row r="39" spans="1:6" ht="16" x14ac:dyDescent="0.2">
      <c r="A39" s="34" t="s">
        <v>83</v>
      </c>
      <c r="B39" s="34"/>
      <c r="C39" s="34"/>
      <c r="D39" s="34"/>
      <c r="E39" s="34"/>
      <c r="F39" s="34"/>
    </row>
    <row r="40" spans="1:6" x14ac:dyDescent="0.2">
      <c r="A40" s="17" t="s">
        <v>269</v>
      </c>
      <c r="B40" s="17">
        <v>5943000000</v>
      </c>
      <c r="C40" s="17">
        <v>11497000000</v>
      </c>
      <c r="D40" s="17">
        <v>14724000000</v>
      </c>
      <c r="E40" s="17">
        <v>13256000000</v>
      </c>
      <c r="F40" s="17">
        <v>14923000000</v>
      </c>
    </row>
    <row r="41" spans="1:6" x14ac:dyDescent="0.2">
      <c r="A41" s="17" t="s">
        <v>270</v>
      </c>
      <c r="B41" s="17">
        <v>-3242000000</v>
      </c>
      <c r="C41" s="17">
        <v>-8014000000</v>
      </c>
      <c r="D41" s="17">
        <v>-7172000000</v>
      </c>
      <c r="E41" s="17">
        <v>-8899000000</v>
      </c>
      <c r="F41" s="17">
        <v>-11342000000</v>
      </c>
    </row>
    <row r="42" spans="1:6" x14ac:dyDescent="0.2">
      <c r="A42" s="17" t="s">
        <v>271</v>
      </c>
      <c r="B42" s="17">
        <v>2701000000</v>
      </c>
      <c r="C42" s="17">
        <v>3483000000</v>
      </c>
      <c r="D42" s="17">
        <v>7552000000</v>
      </c>
      <c r="E42" s="17">
        <v>4357000000</v>
      </c>
      <c r="F42" s="17">
        <v>3581000000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D8DC8-9271-924E-93BA-930E3BCFEA37}">
  <dimension ref="A1:O41"/>
  <sheetViews>
    <sheetView zoomScale="84" zoomScaleNormal="157" workbookViewId="0">
      <selection activeCell="G12" sqref="G12"/>
    </sheetView>
  </sheetViews>
  <sheetFormatPr baseColWidth="10" defaultRowHeight="15" x14ac:dyDescent="0.2"/>
  <cols>
    <col min="1" max="1" width="29.1640625" customWidth="1"/>
    <col min="2" max="2" width="19.1640625" customWidth="1"/>
    <col min="3" max="3" width="14.33203125" customWidth="1"/>
    <col min="4" max="4" width="14.1640625" customWidth="1"/>
    <col min="5" max="5" width="14.5" customWidth="1"/>
    <col min="6" max="6" width="14.6640625" customWidth="1"/>
    <col min="9" max="9" width="27.5" customWidth="1"/>
    <col min="10" max="10" width="10.83203125" customWidth="1"/>
    <col min="15" max="16" width="29.6640625" customWidth="1"/>
  </cols>
  <sheetData>
    <row r="1" spans="1:15" x14ac:dyDescent="0.2">
      <c r="B1" s="4">
        <v>2020</v>
      </c>
      <c r="C1" s="4">
        <v>2021</v>
      </c>
      <c r="D1" s="4">
        <v>2022</v>
      </c>
      <c r="E1" s="4">
        <v>2023</v>
      </c>
      <c r="F1" s="4">
        <v>2024</v>
      </c>
      <c r="I1" s="90" t="s">
        <v>111</v>
      </c>
      <c r="J1" s="91"/>
      <c r="K1" s="91"/>
      <c r="L1" s="91"/>
      <c r="M1" s="91"/>
      <c r="N1" s="92"/>
      <c r="O1" s="22" t="s">
        <v>149</v>
      </c>
    </row>
    <row r="2" spans="1:15" ht="16" x14ac:dyDescent="0.2">
      <c r="A2" s="94" t="s">
        <v>101</v>
      </c>
      <c r="B2" s="94"/>
      <c r="C2" s="94"/>
      <c r="D2" s="94"/>
      <c r="E2" s="94"/>
      <c r="F2" s="94"/>
      <c r="I2" s="20"/>
      <c r="J2" s="8">
        <v>2020</v>
      </c>
      <c r="K2" s="8">
        <v>2021</v>
      </c>
      <c r="L2" s="8">
        <v>2022</v>
      </c>
      <c r="M2" s="8">
        <v>2023</v>
      </c>
      <c r="N2" s="8">
        <v>2024</v>
      </c>
      <c r="O2" s="20"/>
    </row>
    <row r="3" spans="1:15" x14ac:dyDescent="0.2">
      <c r="A3" s="11" t="s">
        <v>133</v>
      </c>
      <c r="B3" s="12">
        <f>B40/'Historical BS'!B20</f>
        <v>3.8237324537853799E-2</v>
      </c>
      <c r="C3" s="12">
        <f>C40/'Historical BS'!C20</f>
        <v>0.10498784825610404</v>
      </c>
      <c r="D3" s="12">
        <f>D40/'Historical BS'!D20</f>
        <v>0.16585294760620856</v>
      </c>
      <c r="E3" s="12">
        <f>E40/'Historical BS'!E20</f>
        <v>8.3391172222326435E-2</v>
      </c>
      <c r="F3" s="13">
        <f>'Historical IS'!F32 / (('Historical BS'!F20 + 'Historical BS'!E20) / 2)</f>
        <v>6.2355698593717201E-2</v>
      </c>
      <c r="I3" s="8" t="s">
        <v>113</v>
      </c>
      <c r="J3" s="24">
        <f>B4</f>
        <v>3.0448920984838888E-2</v>
      </c>
      <c r="K3" s="24">
        <f t="shared" ref="K3:N3" si="0">C4</f>
        <v>0.17490422062501979</v>
      </c>
      <c r="L3" s="24">
        <f t="shared" si="0"/>
        <v>0.27415137914506077</v>
      </c>
      <c r="M3" s="24">
        <f t="shared" si="0"/>
        <v>0.23579996541369933</v>
      </c>
      <c r="N3" s="24">
        <f t="shared" si="0"/>
        <v>9.6769815418023888E-2</v>
      </c>
      <c r="O3" s="20"/>
    </row>
    <row r="4" spans="1:15" x14ac:dyDescent="0.2">
      <c r="A4" s="11" t="s">
        <v>113</v>
      </c>
      <c r="B4" s="12">
        <f>B38/'Historical BS'!B45</f>
        <v>3.0448920984838888E-2</v>
      </c>
      <c r="C4" s="12">
        <f>C38/'Historical BS'!C45</f>
        <v>0.17490422062501979</v>
      </c>
      <c r="D4" s="12">
        <f>D38/'Historical BS'!D45</f>
        <v>0.27415137914506077</v>
      </c>
      <c r="E4" s="12">
        <f>E38/'Historical BS'!E45</f>
        <v>0.23579996541369933</v>
      </c>
      <c r="F4" s="12">
        <f>F38/'Historical BS'!F45</f>
        <v>9.6769815418023888E-2</v>
      </c>
      <c r="I4" s="20" t="s">
        <v>114</v>
      </c>
      <c r="J4" s="10">
        <f xml:space="preserve"> B38 / 'Historical BS'!B20</f>
        <v>1.3826033596686355E-2</v>
      </c>
      <c r="K4" s="10">
        <f xml:space="preserve"> C38 / 'Historical BS'!C20</f>
        <v>8.8908918253367886E-2</v>
      </c>
      <c r="L4" s="10">
        <f xml:space="preserve"> D38 / 'Historical BS'!D20</f>
        <v>0.15282129757827492</v>
      </c>
      <c r="M4" s="10">
        <f xml:space="preserve"> E38 / 'Historical BS'!E20</f>
        <v>0.14067981016338704</v>
      </c>
      <c r="N4" s="10">
        <f xml:space="preserve"> F38 / 'Historical BS'!F20</f>
        <v>5.8409109527320389E-2</v>
      </c>
      <c r="O4" s="20"/>
    </row>
    <row r="5" spans="1:15" x14ac:dyDescent="0.2">
      <c r="A5" s="11" t="s">
        <v>134</v>
      </c>
      <c r="B5" s="12">
        <f>B40/('Historical BS'!B20-'Historical BS'!B29)</f>
        <v>5.261213720316623E-2</v>
      </c>
      <c r="C5" s="12">
        <f>C40/('Historical BS'!C20-'Historical BS'!C29)</f>
        <v>0.1537500589261302</v>
      </c>
      <c r="D5" s="12">
        <f>D40/('Historical BS'!D20-'Historical BS'!D29)</f>
        <v>0.24548347085153427</v>
      </c>
      <c r="E5" s="12">
        <f>E40/('Historical BS'!E20-'Historical BS'!E29)</f>
        <v>0.11417747527931167</v>
      </c>
      <c r="F5" s="13">
        <f>'Historical IS'!F17 / (('Historical BS'!F52 + 'Historical BS'!E52) / 2)</f>
        <v>8.268963341240812E-2</v>
      </c>
      <c r="I5" s="20" t="s">
        <v>115</v>
      </c>
      <c r="J5" s="23">
        <f>B29</f>
        <v>2.2022889480130075</v>
      </c>
      <c r="K5" s="23">
        <f t="shared" ref="K5:N5" si="1">C29</f>
        <v>1.9672292055852831</v>
      </c>
      <c r="L5" s="23">
        <f t="shared" si="1"/>
        <v>1.7939343762255435</v>
      </c>
      <c r="M5" s="23">
        <f t="shared" si="1"/>
        <v>1.676146457262337</v>
      </c>
      <c r="N5" s="23">
        <f t="shared" si="1"/>
        <v>1.656758957654723</v>
      </c>
      <c r="O5" s="20"/>
    </row>
    <row r="6" spans="1:15" x14ac:dyDescent="0.2">
      <c r="A6" s="11" t="s">
        <v>135</v>
      </c>
      <c r="B6" s="12">
        <f>B5*(1-0.163)</f>
        <v>4.4036358839050133E-2</v>
      </c>
      <c r="C6" s="12">
        <f t="shared" ref="C6:E6" si="2">C5*(1-0.163)</f>
        <v>0.12868879932117097</v>
      </c>
      <c r="D6" s="12">
        <f t="shared" si="2"/>
        <v>0.20546966510273418</v>
      </c>
      <c r="E6" s="12">
        <f t="shared" si="2"/>
        <v>9.5566546808783862E-2</v>
      </c>
      <c r="F6" s="13">
        <f>'Historical IS'!F42 / (('Historical BS'!F50 + 'Historical BS'!E50) / 2)</f>
        <v>7.590770070125552E-2</v>
      </c>
      <c r="I6" s="20" t="s">
        <v>120</v>
      </c>
      <c r="J6" s="25">
        <f>J5*J4</f>
        <v>3.0448920984838888E-2</v>
      </c>
      <c r="K6" s="25">
        <f t="shared" ref="K6:N6" si="3">K5*K4</f>
        <v>0.17490422062501979</v>
      </c>
      <c r="L6" s="25">
        <f t="shared" si="3"/>
        <v>0.27415137914506077</v>
      </c>
      <c r="M6" s="25">
        <f t="shared" si="3"/>
        <v>0.2357999654136993</v>
      </c>
      <c r="N6" s="25">
        <f t="shared" si="3"/>
        <v>9.6769815418023875E-2</v>
      </c>
      <c r="O6" s="22" t="s">
        <v>150</v>
      </c>
    </row>
    <row r="7" spans="1:15" x14ac:dyDescent="0.2">
      <c r="A7" s="11" t="s">
        <v>136</v>
      </c>
      <c r="B7" s="13">
        <f>'Historical IS'!B7 / 'Historical IS'!B3</f>
        <v>0.2102359208523592</v>
      </c>
      <c r="C7" s="13">
        <f>'Historical IS'!C7 / 'Historical IS'!C3</f>
        <v>0.25279155751258753</v>
      </c>
      <c r="D7" s="13">
        <f>'Historical IS'!D7 / 'Historical IS'!D3</f>
        <v>0.25598438535759005</v>
      </c>
      <c r="E7" s="13">
        <f>'Historical IS'!E7 / 'Historical IS'!E3</f>
        <v>0.18248891736331416</v>
      </c>
      <c r="F7" s="13">
        <f>'Historical IS'!F7 / 'Historical IS'!F3</f>
        <v>0.17862626676220697</v>
      </c>
      <c r="I7" s="20"/>
      <c r="J7" s="20"/>
      <c r="K7" s="20"/>
      <c r="L7" s="20"/>
      <c r="M7" s="20"/>
      <c r="N7" s="20"/>
      <c r="O7" s="22"/>
    </row>
    <row r="8" spans="1:15" x14ac:dyDescent="0.2">
      <c r="A8" s="11" t="s">
        <v>105</v>
      </c>
      <c r="B8" s="13">
        <f>B38/'Historical IS'!B3</f>
        <v>2.2862760020294266E-2</v>
      </c>
      <c r="C8" s="13">
        <f>C38/'Historical IS'!C3</f>
        <v>0.10263270349107259</v>
      </c>
      <c r="D8" s="13">
        <f>D38/'Historical IS'!D3</f>
        <v>0.15446465836831896</v>
      </c>
      <c r="E8" s="13">
        <f>E38/'Historical IS'!E3</f>
        <v>0.15499157822946483</v>
      </c>
      <c r="F8" s="13">
        <f>('Historical IS'!F32 / 'Historical IS'!F3)</f>
        <v>7.2985976046678266E-2</v>
      </c>
      <c r="I8" s="20" t="s">
        <v>127</v>
      </c>
      <c r="J8" s="25">
        <f>B8</f>
        <v>2.2862760020294266E-2</v>
      </c>
      <c r="K8" s="25">
        <f t="shared" ref="K8:N8" si="4">C8</f>
        <v>0.10263270349107259</v>
      </c>
      <c r="L8" s="25">
        <f t="shared" si="4"/>
        <v>0.15446465836831896</v>
      </c>
      <c r="M8" s="25">
        <f t="shared" si="4"/>
        <v>0.15499157822946483</v>
      </c>
      <c r="N8" s="25">
        <f t="shared" si="4"/>
        <v>7.2985976046678266E-2</v>
      </c>
      <c r="O8" s="22"/>
    </row>
    <row r="9" spans="1:15" x14ac:dyDescent="0.2">
      <c r="A9" s="11" t="s">
        <v>117</v>
      </c>
      <c r="B9" s="13">
        <f>'Historical IS'!B17 / 'Historical IS'!B3</f>
        <v>6.3229325215626589E-2</v>
      </c>
      <c r="C9" s="13">
        <f>'Historical IS'!C17 / 'Historical IS'!C3</f>
        <v>0.12119354179440016</v>
      </c>
      <c r="D9" s="13">
        <f>'Historical IS'!D17 / 'Historical IS'!D3</f>
        <v>0.16763644398615304</v>
      </c>
      <c r="E9" s="13">
        <f>'Historical IS'!E17 / 'Historical IS'!E3</f>
        <v>9.1874799789197395E-2</v>
      </c>
      <c r="F9" s="13">
        <f>'Historical IS'!F17 / 'Historical IS'!F3</f>
        <v>7.2433207083631893E-2</v>
      </c>
      <c r="I9" s="20" t="s">
        <v>116</v>
      </c>
      <c r="J9" s="10">
        <f>B14</f>
        <v>0.60474035437600671</v>
      </c>
      <c r="K9" s="10">
        <f t="shared" ref="K9:N9" si="5">C14</f>
        <v>0.86628253206933736</v>
      </c>
      <c r="L9" s="10">
        <f t="shared" si="5"/>
        <v>0.98936092691102528</v>
      </c>
      <c r="M9" s="10">
        <f t="shared" si="5"/>
        <v>0.90766099532911892</v>
      </c>
      <c r="N9" s="10">
        <f t="shared" si="5"/>
        <v>0.80027852871303351</v>
      </c>
      <c r="O9" s="22"/>
    </row>
    <row r="10" spans="1:15" ht="16" x14ac:dyDescent="0.2">
      <c r="A10" s="95" t="s">
        <v>100</v>
      </c>
      <c r="B10" s="95"/>
      <c r="C10" s="95"/>
      <c r="D10" s="95"/>
      <c r="E10" s="95"/>
      <c r="F10" s="95"/>
      <c r="I10" s="20" t="s">
        <v>115</v>
      </c>
      <c r="J10" s="10">
        <f>B29</f>
        <v>2.2022889480130075</v>
      </c>
      <c r="K10" s="10">
        <f t="shared" ref="K10:N10" si="6">C29</f>
        <v>1.9672292055852831</v>
      </c>
      <c r="L10" s="10">
        <f t="shared" si="6"/>
        <v>1.7939343762255435</v>
      </c>
      <c r="M10" s="10">
        <f t="shared" si="6"/>
        <v>1.676146457262337</v>
      </c>
      <c r="N10" s="10">
        <f t="shared" si="6"/>
        <v>1.656758957654723</v>
      </c>
      <c r="O10" s="22"/>
    </row>
    <row r="11" spans="1:15" x14ac:dyDescent="0.2">
      <c r="A11" s="11" t="s">
        <v>140</v>
      </c>
      <c r="B11" s="16">
        <f>'Historical IS'!B3 / 'Historical BS'!B7</f>
        <v>16.721102863202546</v>
      </c>
      <c r="C11" s="16">
        <f>'Historical IS'!C3 / 'Historical BS'!C7</f>
        <v>28.135389440669105</v>
      </c>
      <c r="D11" s="16">
        <f>'Historical IS'!D3 / 'Historical BS'!D7</f>
        <v>27.595528455284551</v>
      </c>
      <c r="E11" s="16">
        <f>'Historical IS'!E3 / 'Historical BS'!E7</f>
        <v>27.5863740022805</v>
      </c>
      <c r="F11" s="16">
        <f>'Historical IS'!F3 / 'Historical BS'!F7</f>
        <v>22.111815301041194</v>
      </c>
      <c r="I11" s="20" t="s">
        <v>120</v>
      </c>
      <c r="J11" s="25">
        <f>J10*J9*J8</f>
        <v>3.0448920984838885E-2</v>
      </c>
      <c r="K11" s="25">
        <f t="shared" ref="K11:N11" si="7">K10*K9*K8</f>
        <v>0.17490422062501979</v>
      </c>
      <c r="L11" s="25">
        <f t="shared" si="7"/>
        <v>0.27415137914506077</v>
      </c>
      <c r="M11" s="25">
        <f t="shared" si="7"/>
        <v>0.2357999654136993</v>
      </c>
      <c r="N11" s="25">
        <f t="shared" si="7"/>
        <v>9.6769815418023875E-2</v>
      </c>
      <c r="O11" s="22" t="s">
        <v>151</v>
      </c>
    </row>
    <row r="12" spans="1:15" x14ac:dyDescent="0.2">
      <c r="A12" s="11" t="s">
        <v>138</v>
      </c>
      <c r="B12" s="16">
        <f>'Historical IS'!B3 / 'Historical BS'!B24</f>
        <v>5.211700545364403</v>
      </c>
      <c r="C12" s="16">
        <f>'Historical IS'!C3 / 'Historical BS'!C24</f>
        <v>5.3688778054862842</v>
      </c>
      <c r="D12" s="16">
        <f>'Historical IS'!D3 / 'Historical BS'!D24</f>
        <v>5.3400196656833829</v>
      </c>
      <c r="E12" s="16">
        <f>'Historical IS'!E3 / 'Historical BS'!E24</f>
        <v>6.7059108862864667</v>
      </c>
      <c r="F12" s="16">
        <f>'Historical IS'!F3 / 'Historical BS'!F24</f>
        <v>7.8314894981561647</v>
      </c>
      <c r="I12" s="20"/>
      <c r="J12" s="20"/>
      <c r="K12" s="20"/>
      <c r="L12" s="20"/>
      <c r="M12" s="20"/>
      <c r="N12" s="20"/>
      <c r="O12" s="22"/>
    </row>
    <row r="13" spans="1:15" x14ac:dyDescent="0.2">
      <c r="A13" s="11" t="s">
        <v>98</v>
      </c>
      <c r="B13" s="14">
        <f>'Historical IS'!B3 / 'Historical BS'!B8</f>
        <v>7.6898317483540604</v>
      </c>
      <c r="C13" s="14">
        <f>'Historical IS'!C3 / 'Historical BS'!C8</f>
        <v>9.3491401771756131</v>
      </c>
      <c r="D13" s="14">
        <f>'Historical IS'!D3 / 'Historical BS'!D8</f>
        <v>6.3448866734169327</v>
      </c>
      <c r="E13" s="14">
        <f>'Historical IS'!E3 / 'Historical BS'!E8</f>
        <v>7.1020842506971968</v>
      </c>
      <c r="F13" s="14">
        <f>'Historical IS'!F3 / 'Historical BS'!F8</f>
        <v>8.1293168011983017</v>
      </c>
      <c r="I13" s="20" t="s">
        <v>116</v>
      </c>
      <c r="J13" s="10">
        <f>B14</f>
        <v>0.60474035437600671</v>
      </c>
      <c r="K13" s="10">
        <f t="shared" ref="K13:N13" si="8">C14</f>
        <v>0.86628253206933736</v>
      </c>
      <c r="L13" s="10">
        <f t="shared" si="8"/>
        <v>0.98936092691102528</v>
      </c>
      <c r="M13" s="10">
        <f t="shared" si="8"/>
        <v>0.90766099532911892</v>
      </c>
      <c r="N13" s="10">
        <f t="shared" si="8"/>
        <v>0.80027852871303351</v>
      </c>
      <c r="O13" s="22"/>
    </row>
    <row r="14" spans="1:15" x14ac:dyDescent="0.2">
      <c r="A14" s="11" t="s">
        <v>116</v>
      </c>
      <c r="B14" s="14">
        <f>'Historical IS'!B3 / 'Historical BS'!B20</f>
        <v>0.60474035437600671</v>
      </c>
      <c r="C14" s="14">
        <f>'Historical IS'!C3 / 'Historical BS'!C20</f>
        <v>0.86628253206933736</v>
      </c>
      <c r="D14" s="14">
        <f>'Historical IS'!D3 / 'Historical BS'!D20</f>
        <v>0.98936092691102528</v>
      </c>
      <c r="E14" s="14">
        <f>'Historical IS'!E3 / 'Historical BS'!E20</f>
        <v>0.90766099532911892</v>
      </c>
      <c r="F14" s="14">
        <f>'Historical IS'!F3 / 'Historical BS'!F20</f>
        <v>0.80027852871303351</v>
      </c>
      <c r="I14" s="20" t="s">
        <v>117</v>
      </c>
      <c r="J14" s="25">
        <f>B9</f>
        <v>6.3229325215626589E-2</v>
      </c>
      <c r="K14" s="25">
        <f t="shared" ref="K14:N14" si="9">C9</f>
        <v>0.12119354179440016</v>
      </c>
      <c r="L14" s="25">
        <f t="shared" si="9"/>
        <v>0.16763644398615304</v>
      </c>
      <c r="M14" s="25">
        <f t="shared" si="9"/>
        <v>9.1874799789197395E-2</v>
      </c>
      <c r="N14" s="25">
        <f t="shared" si="9"/>
        <v>7.2433207083631893E-2</v>
      </c>
      <c r="O14" s="22"/>
    </row>
    <row r="15" spans="1:15" x14ac:dyDescent="0.2">
      <c r="A15" s="11"/>
      <c r="B15" s="16"/>
      <c r="C15" s="14"/>
      <c r="D15" s="14"/>
      <c r="E15" s="14"/>
      <c r="F15" s="14"/>
      <c r="I15" s="20" t="s">
        <v>118</v>
      </c>
      <c r="J15" s="3">
        <f>B39/'Historical IS'!B17</f>
        <v>0.5787362086258776</v>
      </c>
      <c r="K15" s="3">
        <f>C39/'Historical IS'!C17</f>
        <v>0.97240533496857273</v>
      </c>
      <c r="L15" s="3">
        <f>D39/'Historical IS'!D17</f>
        <v>1.0046133567662565</v>
      </c>
      <c r="M15" s="3">
        <f>E39/'Historical IS'!E17</f>
        <v>1.1216960971769205</v>
      </c>
      <c r="N15" s="3">
        <f>F39/'Historical IS'!F17</f>
        <v>1.2704918032786885</v>
      </c>
      <c r="O15" s="22"/>
    </row>
    <row r="16" spans="1:15" x14ac:dyDescent="0.2">
      <c r="A16" s="11" t="s">
        <v>141</v>
      </c>
      <c r="B16" s="16">
        <f>365/B11</f>
        <v>21.828703703703702</v>
      </c>
      <c r="C16" s="16">
        <f t="shared" ref="C16:F16" si="10">365/C11</f>
        <v>12.972985526633597</v>
      </c>
      <c r="D16" s="16">
        <f t="shared" si="10"/>
        <v>13.226780584812552</v>
      </c>
      <c r="E16" s="16">
        <f t="shared" si="10"/>
        <v>13.231169851094831</v>
      </c>
      <c r="F16" s="16">
        <f t="shared" si="10"/>
        <v>16.507011976660866</v>
      </c>
      <c r="G16" s="3"/>
      <c r="I16" s="20" t="s">
        <v>119</v>
      </c>
      <c r="J16" s="10">
        <f>B38/B39</f>
        <v>0.62478336221837083</v>
      </c>
      <c r="K16" s="10">
        <f t="shared" ref="K16:N16" si="11">C38/C39</f>
        <v>0.87088128645751217</v>
      </c>
      <c r="L16" s="10">
        <f t="shared" si="11"/>
        <v>0.91719513084044024</v>
      </c>
      <c r="M16" s="10">
        <f t="shared" si="11"/>
        <v>1.5039606938734584</v>
      </c>
      <c r="N16" s="10">
        <f t="shared" si="11"/>
        <v>0.7931034482758621</v>
      </c>
      <c r="O16" s="22"/>
    </row>
    <row r="17" spans="1:15" x14ac:dyDescent="0.2">
      <c r="A17" s="11" t="s">
        <v>142</v>
      </c>
      <c r="B17" s="16">
        <f>365/B12</f>
        <v>70.034722222222214</v>
      </c>
      <c r="C17" s="16">
        <f t="shared" ref="C17:F17" si="12">365/C12</f>
        <v>67.984411868532035</v>
      </c>
      <c r="D17" s="16">
        <f t="shared" si="12"/>
        <v>68.351808205052663</v>
      </c>
      <c r="E17" s="16">
        <f t="shared" si="12"/>
        <v>54.429592964979904</v>
      </c>
      <c r="F17" s="16">
        <f t="shared" si="12"/>
        <v>46.606715119254787</v>
      </c>
      <c r="G17" s="3"/>
      <c r="I17" s="20" t="s">
        <v>115</v>
      </c>
      <c r="J17" s="10">
        <f>B29</f>
        <v>2.2022889480130075</v>
      </c>
      <c r="K17" s="10">
        <f t="shared" ref="K17:N17" si="13">C29</f>
        <v>1.9672292055852831</v>
      </c>
      <c r="L17" s="10">
        <f t="shared" si="13"/>
        <v>1.7939343762255435</v>
      </c>
      <c r="M17" s="10">
        <f t="shared" si="13"/>
        <v>1.676146457262337</v>
      </c>
      <c r="N17" s="10">
        <f t="shared" si="13"/>
        <v>1.656758957654723</v>
      </c>
      <c r="O17" s="22"/>
    </row>
    <row r="18" spans="1:15" x14ac:dyDescent="0.2">
      <c r="A18" s="11" t="s">
        <v>139</v>
      </c>
      <c r="B18" s="16">
        <f>365/B13</f>
        <v>47.465277777777779</v>
      </c>
      <c r="C18" s="16">
        <f t="shared" ref="C18:F18" si="14">365/C13</f>
        <v>39.041023354328075</v>
      </c>
      <c r="D18" s="16">
        <f t="shared" si="14"/>
        <v>57.526638187130196</v>
      </c>
      <c r="E18" s="16">
        <f t="shared" si="14"/>
        <v>51.3933638514875</v>
      </c>
      <c r="F18" s="16">
        <f t="shared" si="14"/>
        <v>44.899222028866831</v>
      </c>
      <c r="G18" s="73"/>
      <c r="I18" s="20" t="s">
        <v>120</v>
      </c>
      <c r="J18" s="25">
        <f>J13*J14*J15*J16*J17</f>
        <v>3.0448920984838885E-2</v>
      </c>
      <c r="K18" s="25">
        <f t="shared" ref="K18:N18" si="15">K13*K14*K15*K16*K17</f>
        <v>0.17490422062501979</v>
      </c>
      <c r="L18" s="25">
        <f t="shared" si="15"/>
        <v>0.27415137914506071</v>
      </c>
      <c r="M18" s="25">
        <f t="shared" si="15"/>
        <v>0.2357999654136993</v>
      </c>
      <c r="N18" s="25">
        <f t="shared" si="15"/>
        <v>9.6769815418023875E-2</v>
      </c>
      <c r="O18" s="22" t="s">
        <v>152</v>
      </c>
    </row>
    <row r="19" spans="1:15" x14ac:dyDescent="0.2">
      <c r="A19" s="11" t="s">
        <v>108</v>
      </c>
      <c r="B19" s="16">
        <f>B16+B18</f>
        <v>69.293981481481481</v>
      </c>
      <c r="C19" s="16">
        <f t="shared" ref="C19:F19" si="16">C16+C18</f>
        <v>52.014008880961669</v>
      </c>
      <c r="D19" s="16">
        <f t="shared" si="16"/>
        <v>70.753418771942748</v>
      </c>
      <c r="E19" s="16">
        <f t="shared" si="16"/>
        <v>64.624533702582326</v>
      </c>
      <c r="F19" s="16">
        <f t="shared" si="16"/>
        <v>61.406234005527693</v>
      </c>
      <c r="I19" s="20"/>
      <c r="J19" s="20"/>
      <c r="K19" s="20"/>
      <c r="L19" s="20"/>
      <c r="M19" s="20"/>
      <c r="N19" s="20"/>
      <c r="O19" s="20"/>
    </row>
    <row r="20" spans="1:15" x14ac:dyDescent="0.2">
      <c r="A20" s="11" t="s">
        <v>109</v>
      </c>
      <c r="B20" s="16">
        <f>B19-B17</f>
        <v>-0.74074074074073337</v>
      </c>
      <c r="C20" s="16">
        <f t="shared" ref="C20:F20" si="17">C19-C17</f>
        <v>-15.970402987570367</v>
      </c>
      <c r="D20" s="16">
        <f t="shared" si="17"/>
        <v>2.4016105668900849</v>
      </c>
      <c r="E20" s="16">
        <f t="shared" si="17"/>
        <v>10.194940737602423</v>
      </c>
      <c r="F20" s="16">
        <f t="shared" si="17"/>
        <v>14.799518886272907</v>
      </c>
      <c r="I20" s="20" t="s">
        <v>121</v>
      </c>
      <c r="J20" s="9" t="s">
        <v>94</v>
      </c>
      <c r="K20" s="25">
        <f>(C3*(('Historical BS'!C40-'Historical BS'!B40)/'Historical IS'!C32))/(1-(C3*(('Historical BS'!C40-'Historical BS'!B40)/'Historical IS'!C32)))</f>
        <v>0.12216446148559462</v>
      </c>
      <c r="L20" s="25">
        <f>(D3*(('Historical BS'!D40-'Historical BS'!C40)/'Historical IS'!D32))/(1-(D3*(('Historical BS'!D40-'Historical BS'!C40)/'Historical IS'!D32)))</f>
        <v>0.1983181388430082</v>
      </c>
      <c r="M20" s="25">
        <f>(E3*(('Historical BS'!E40-'Historical BS'!D40)/'Historical IS'!E32))/(1-(E3*(('Historical BS'!E40-'Historical BS'!D40)/'Historical IS'!E32)))</f>
        <v>9.0964693600492447E-2</v>
      </c>
      <c r="N20" s="25">
        <f>(F3*(('Historical BS'!F40-'Historical BS'!E40)/'Historical IS'!F32))/(1-(F3*(('Historical BS'!F40-'Historical BS'!E40)/'Historical IS'!F32)))</f>
        <v>6.8465757776801819E-2</v>
      </c>
      <c r="O20" s="20"/>
    </row>
    <row r="21" spans="1:15" ht="16" x14ac:dyDescent="0.2">
      <c r="A21" s="95" t="s">
        <v>99</v>
      </c>
      <c r="B21" s="95"/>
      <c r="C21" s="95"/>
      <c r="D21" s="95"/>
      <c r="E21" s="95"/>
      <c r="F21" s="95"/>
      <c r="I21" s="20" t="s">
        <v>122</v>
      </c>
      <c r="J21" s="9" t="s">
        <v>94</v>
      </c>
      <c r="K21" s="25">
        <f>(B4*(('Historical BS'!C40-'Historical BS'!B40)/'Historical IS'!C32))/(1-(B4*(('Historical BS'!C40-'Historical BS'!B40)/'Historical IS'!C32)))</f>
        <v>3.2602772488652426E-2</v>
      </c>
      <c r="L21" s="25">
        <f>(C4*(('Historical BS'!D40-'Historical BS'!C40)/'Historical IS'!D32))/(1-(C4*(('Historical BS'!D40-'Historical BS'!C40)/'Historical IS'!D32)))</f>
        <v>0.21142947782475968</v>
      </c>
      <c r="M21" s="25">
        <f>(D4*(('Historical BS'!E40-'Historical BS'!D40)/'Historical IS'!E32))/(1-(D4*(('Historical BS'!E40-'Historical BS'!D40)/'Historical IS'!E32)))</f>
        <v>0.37762835218058322</v>
      </c>
      <c r="N21" s="25">
        <f>(E4*(('Historical BS'!F40-'Historical BS'!E40)/'Historical IS'!F32))/(1-(E4*(('Historical BS'!F40-'Historical BS'!E40)/'Historical IS'!F32)))</f>
        <v>0.31980978033180413</v>
      </c>
      <c r="O21" s="42"/>
    </row>
    <row r="22" spans="1:15" x14ac:dyDescent="0.2">
      <c r="A22" s="11" t="s">
        <v>84</v>
      </c>
      <c r="B22" s="14">
        <f>'Historical BS'!B10 / 'Historical BS'!B29</f>
        <v>1.8751403705783267</v>
      </c>
      <c r="C22" s="14">
        <f>'Historical BS'!C10 / 'Historical BS'!C29</f>
        <v>1.3752854605430094</v>
      </c>
      <c r="D22" s="14">
        <f>'Historical BS'!D10 / 'Historical BS'!D29</f>
        <v>1.53195552061103</v>
      </c>
      <c r="E22" s="14">
        <f>'Historical BS'!E10 / 'Historical BS'!E29</f>
        <v>1.7258939752330598</v>
      </c>
      <c r="F22" s="14">
        <f>'Historical BS'!F10 / 'Historical BS'!F29</f>
        <v>2.0249123902709831</v>
      </c>
      <c r="O22" s="31"/>
    </row>
    <row r="23" spans="1:15" x14ac:dyDescent="0.2">
      <c r="A23" s="11" t="s">
        <v>137</v>
      </c>
      <c r="B23" s="14">
        <f>('Historical BS'!B4 + 'Historical BS'!B5 + 'Historical BS'!B7) / 'Historical BS'!B29</f>
        <v>1.4928411005053341</v>
      </c>
      <c r="C23" s="14">
        <f>('Historical BS'!C4 + 'Historical BS'!C5 + 'Historical BS'!C7) / 'Historical BS'!C29</f>
        <v>0.99568637401674698</v>
      </c>
      <c r="D23" s="14">
        <f>('Historical BS'!D4 + 'Historical BS'!D5 + 'Historical BS'!D7) / 'Historical BS'!D29</f>
        <v>0.94114343479725937</v>
      </c>
      <c r="E23" s="14">
        <f>('Historical BS'!E4 + 'Historical BS'!E5 + 'Historical BS'!E7) / 'Historical BS'!E29</f>
        <v>1.1340614999304299</v>
      </c>
      <c r="F23" s="14">
        <f>('Historical BS'!F4 + 'Historical BS'!F5 + 'Historical BS'!F7) / 'Historical BS'!F29</f>
        <v>1.421914576177093</v>
      </c>
      <c r="I23" s="93" t="s">
        <v>123</v>
      </c>
      <c r="J23" s="93"/>
      <c r="K23" s="93"/>
      <c r="L23" s="93"/>
      <c r="M23" s="93"/>
      <c r="N23" s="93"/>
      <c r="O23" s="41"/>
    </row>
    <row r="24" spans="1:15" x14ac:dyDescent="0.2">
      <c r="A24" s="11" t="s">
        <v>85</v>
      </c>
      <c r="B24" s="14">
        <f>('Historical BS'!B4 + 'Historical BS'!B5) / 'Historical BS'!B29</f>
        <v>1.360471645143178</v>
      </c>
      <c r="C24" s="14">
        <f>('Historical BS'!C4 + 'Historical BS'!C5) / 'Historical BS'!C29</f>
        <v>0.89860441512306521</v>
      </c>
      <c r="D24" s="14">
        <f>('Historical BS'!D4 + 'Historical BS'!D5) / 'Historical BS'!D29</f>
        <v>0.83061889250814336</v>
      </c>
      <c r="E24" s="14">
        <f>('Historical BS'!E4 + 'Historical BS'!E5) / 'Historical BS'!E29</f>
        <v>1.0120356198692082</v>
      </c>
      <c r="F24" s="14">
        <f>('Historical BS'!F4 + 'Historical BS'!F5) / 'Historical BS'!F29</f>
        <v>1.2686235730890669</v>
      </c>
      <c r="I24" s="20"/>
      <c r="J24" s="8">
        <v>2020</v>
      </c>
      <c r="K24" s="8">
        <v>2021</v>
      </c>
      <c r="L24" s="8">
        <v>2022</v>
      </c>
      <c r="M24" s="8">
        <v>2023</v>
      </c>
      <c r="N24" s="8">
        <v>2024</v>
      </c>
      <c r="O24" s="20"/>
    </row>
    <row r="25" spans="1:15" ht="16" x14ac:dyDescent="0.2">
      <c r="A25" s="95" t="s">
        <v>102</v>
      </c>
      <c r="B25" s="95"/>
      <c r="C25" s="95"/>
      <c r="D25" s="95"/>
      <c r="E25" s="95"/>
      <c r="F25" s="95"/>
      <c r="I25" s="20" t="s">
        <v>124</v>
      </c>
      <c r="J25" s="25">
        <f>'Historical BS'!B45/'Historical BS'!B20</f>
        <v>0.45407302293472424</v>
      </c>
      <c r="K25" s="25">
        <f>'Historical BS'!C45/'Historical BS'!C20</f>
        <v>0.50832917545186784</v>
      </c>
      <c r="L25" s="25">
        <f>'Historical BS'!D45/'Historical BS'!D20</f>
        <v>0.55743399159561802</v>
      </c>
      <c r="M25" s="25">
        <f>'Historical BS'!E45/'Historical BS'!E20</f>
        <v>0.59660657675064244</v>
      </c>
      <c r="N25" s="25">
        <f>'Historical BS'!F45/'Historical BS'!F20</f>
        <v>0.60358810518554928</v>
      </c>
      <c r="O25" s="20"/>
    </row>
    <row r="26" spans="1:15" ht="32" x14ac:dyDescent="0.2">
      <c r="A26" s="11" t="s">
        <v>143</v>
      </c>
      <c r="B26" s="13">
        <f>'Historical BS'!B51 / 'Historical BS'!B20</f>
        <v>0.31232262023471657</v>
      </c>
      <c r="C26" s="13">
        <f>'Historical BS'!C51 / 'Historical BS'!C20</f>
        <v>0.19964269044438365</v>
      </c>
      <c r="D26" s="13">
        <f>'Historical BS'!D51 / 'Historical BS'!D20</f>
        <v>0.11478296776700916</v>
      </c>
      <c r="E26" s="13">
        <f>'Historical BS'!E51 / 'Historical BS'!E20</f>
        <v>0.13589637772233581</v>
      </c>
      <c r="F26" s="13">
        <f>'Historical BS'!F51 / 'Historical BS'!F20</f>
        <v>0.15866306217743917</v>
      </c>
      <c r="I26" s="20" t="s">
        <v>153</v>
      </c>
      <c r="J26" s="10">
        <f>('Historical BS'!B51 - 'Historical BS'!B6) / ('Cash Flow'!B23)</f>
        <v>0.98882503192848026</v>
      </c>
      <c r="K26" s="10">
        <f>('Historical BS'!C51 - 'Historical BS'!C6) / ('Cash Flow'!C23)</f>
        <v>0.67399593289273008</v>
      </c>
      <c r="L26" s="10">
        <f>('Historical BS'!D51 - 'Historical BS'!D6) / ('Cash Flow'!D23)</f>
        <v>1.0635596759375261</v>
      </c>
      <c r="M26" s="10">
        <f>('Historical BS'!E51 - 'Historical BS'!E6) / ('Cash Flow'!E23)</f>
        <v>0.93717915811088293</v>
      </c>
      <c r="N26" s="10">
        <f>('Historical BS'!F51 - 'Historical BS'!F6) / ('Cash Flow'!F23)</f>
        <v>0.91526055250971416</v>
      </c>
      <c r="O26" s="27" t="s">
        <v>177</v>
      </c>
    </row>
    <row r="27" spans="1:15" x14ac:dyDescent="0.2">
      <c r="A27" s="11" t="s">
        <v>106</v>
      </c>
      <c r="B27" s="14">
        <f>'Historical BS'!B31 / 'Historical BS'!B20</f>
        <v>0.20827260872900208</v>
      </c>
      <c r="C27" s="14">
        <f>'Historical BS'!C31 / 'Historical BS'!C20</f>
        <v>0.11131319309201526</v>
      </c>
      <c r="D27" s="14">
        <f>'Historical BS'!D31 / 'Historical BS'!D20</f>
        <v>4.5677572931088928E-2</v>
      </c>
      <c r="E27" s="14">
        <f>'Historical BS'!E31 / 'Historical BS'!E20</f>
        <v>6.1227935245455736E-2</v>
      </c>
      <c r="F27" s="14">
        <f>'Historical BS'!F31 / 'Historical BS'!F19</f>
        <v>0.16259652206667086</v>
      </c>
      <c r="I27" s="20" t="s">
        <v>112</v>
      </c>
      <c r="J27" s="25">
        <f>B3</f>
        <v>3.8237324537853799E-2</v>
      </c>
      <c r="K27" s="25">
        <f t="shared" ref="K27:N27" si="18">C3</f>
        <v>0.10498784825610404</v>
      </c>
      <c r="L27" s="25">
        <f t="shared" si="18"/>
        <v>0.16585294760620856</v>
      </c>
      <c r="M27" s="25">
        <f t="shared" si="18"/>
        <v>8.3391172222326435E-2</v>
      </c>
      <c r="N27" s="25">
        <f t="shared" si="18"/>
        <v>6.2355698593717201E-2</v>
      </c>
      <c r="O27" s="20"/>
    </row>
    <row r="28" spans="1:15" x14ac:dyDescent="0.2">
      <c r="A28" s="11" t="s">
        <v>144</v>
      </c>
      <c r="B28" s="14">
        <f>'Historical BS'!B51 / 'Historical BS'!B45</f>
        <v>0.68782465475737997</v>
      </c>
      <c r="C28" s="14">
        <f>'Historical BS'!C51 / 'Historical BS'!C45</f>
        <v>0.39274293132381344</v>
      </c>
      <c r="D28" s="14">
        <f>'Historical BS'!D51 / 'Historical BS'!D45</f>
        <v>0.20591311168242624</v>
      </c>
      <c r="E28" s="14">
        <f>'Historical BS'!E51 / 'Historical BS'!E45</f>
        <v>0.22778223207407758</v>
      </c>
      <c r="F28" s="14">
        <f>'Historical BS'!F51 / 'Historical BS'!F45</f>
        <v>0.26286644951140065</v>
      </c>
      <c r="I28" s="20" t="s">
        <v>125</v>
      </c>
      <c r="J28" s="25">
        <f>'Cash Flow'!B15/'Historical IS'!B3</f>
        <v>0.18845129375951294</v>
      </c>
      <c r="K28" s="25">
        <f>'Cash Flow'!C15/'Historical IS'!C3</f>
        <v>0.21360756553889601</v>
      </c>
      <c r="L28" s="25">
        <f>'Cash Flow'!D15/'Historical IS'!D3</f>
        <v>0.18074685129262724</v>
      </c>
      <c r="M28" s="25">
        <f>'Cash Flow'!E15/'Historical IS'!E3</f>
        <v>0.13698035609105846</v>
      </c>
      <c r="N28" s="25">
        <f>'Cash Flow'!F15/'Historical IS'!F3</f>
        <v>0.15275872658409254</v>
      </c>
      <c r="O28" s="20"/>
    </row>
    <row r="29" spans="1:15" x14ac:dyDescent="0.2">
      <c r="A29" s="11" t="s">
        <v>103</v>
      </c>
      <c r="B29" s="14">
        <f xml:space="preserve"> ('Historical BS'!B20 ) / ('Historical BS'!B45 )</f>
        <v>2.2022889480130075</v>
      </c>
      <c r="C29" s="14">
        <f xml:space="preserve"> ('Historical BS'!C20 ) / ('Historical BS'!C45 )</f>
        <v>1.9672292055852831</v>
      </c>
      <c r="D29" s="14">
        <f xml:space="preserve"> ('Historical BS'!D20 ) / ('Historical BS'!D45 )</f>
        <v>1.7939343762255435</v>
      </c>
      <c r="E29" s="14">
        <f xml:space="preserve"> ('Historical BS'!E20 ) / ('Historical BS'!E45 )</f>
        <v>1.676146457262337</v>
      </c>
      <c r="F29" s="14">
        <f xml:space="preserve"> ('Historical BS'!F20 ) / ('Historical BS'!F45 )</f>
        <v>1.656758957654723</v>
      </c>
    </row>
    <row r="30" spans="1:15" ht="16" x14ac:dyDescent="0.2">
      <c r="A30" s="95" t="s">
        <v>126</v>
      </c>
      <c r="B30" s="95"/>
      <c r="C30" s="95"/>
      <c r="D30" s="95"/>
      <c r="E30" s="95"/>
      <c r="F30" s="95"/>
    </row>
    <row r="31" spans="1:15" x14ac:dyDescent="0.2">
      <c r="A31" s="11" t="s">
        <v>107</v>
      </c>
      <c r="B31" s="14">
        <f>'Cash Flow'!B15 / 'Historical BS'!B51</f>
        <v>0.3648922453490514</v>
      </c>
      <c r="C31" s="14">
        <f>'Cash Flow'!C15 / 'Historical BS'!C51</f>
        <v>0.92687842631409223</v>
      </c>
      <c r="D31" s="14">
        <f>'Cash Flow'!D15 / 'Historical BS'!D51</f>
        <v>1.5579303777378055</v>
      </c>
      <c r="E31" s="14">
        <f>'Cash Flow'!E15 / 'Historical BS'!E51</f>
        <v>0.91490095934847127</v>
      </c>
      <c r="F31" s="14">
        <f>'Cash Flow'!F15 / 'Historical BS'!F51</f>
        <v>0.77049772821148288</v>
      </c>
    </row>
    <row r="32" spans="1:15" x14ac:dyDescent="0.2">
      <c r="A32" s="11" t="s">
        <v>104</v>
      </c>
      <c r="B32" s="14">
        <f>B40 / 'Historical IS'!B22</f>
        <v>2.6657754010695189</v>
      </c>
      <c r="C32" s="14">
        <f>C40 / 'Historical IS'!C22</f>
        <v>17.5822102425876</v>
      </c>
      <c r="D32" s="14">
        <f>D40 / 'Historical IS'!D22</f>
        <v>71.497382198952877</v>
      </c>
      <c r="E32" s="14">
        <f>E40 / 'Historical IS'!E22</f>
        <v>56.993589743589745</v>
      </c>
      <c r="F32" s="14">
        <f>F40 / 'Historical IS'!F22</f>
        <v>20.217142857142857</v>
      </c>
    </row>
    <row r="34" spans="1:6" x14ac:dyDescent="0.2">
      <c r="A34" s="19" t="s">
        <v>110</v>
      </c>
      <c r="B34" s="18">
        <f>'Historical BS'!B10 - 'Historical BS'!B29</f>
        <v>12469000000</v>
      </c>
      <c r="C34" s="18">
        <f>'Historical BS'!C10 - 'Historical BS'!C29</f>
        <v>7395000000</v>
      </c>
      <c r="D34" s="18">
        <f>'Historical BS'!D10 - 'Historical BS'!D29</f>
        <v>14208000000</v>
      </c>
      <c r="E34" s="18">
        <f>'Historical BS'!E10 - 'Historical BS'!E29</f>
        <v>20868000000</v>
      </c>
      <c r="F34" s="18">
        <f>'Historical BS'!F10 - 'Historical BS'!F29</f>
        <v>29539000000</v>
      </c>
    </row>
    <row r="37" spans="1:6" x14ac:dyDescent="0.2">
      <c r="A37" s="90" t="s">
        <v>128</v>
      </c>
      <c r="B37" s="91"/>
      <c r="C37" s="91"/>
      <c r="D37" s="91"/>
      <c r="E37" s="91"/>
      <c r="F37" s="92"/>
    </row>
    <row r="38" spans="1:6" x14ac:dyDescent="0.2">
      <c r="A38" s="11" t="s">
        <v>129</v>
      </c>
      <c r="B38" s="21">
        <f>'Historical IS'!B32</f>
        <v>721000000</v>
      </c>
      <c r="C38" s="21">
        <f>'Historical IS'!C32</f>
        <v>5524000000</v>
      </c>
      <c r="D38" s="21">
        <f>'Historical IS'!D32</f>
        <v>12583000000</v>
      </c>
      <c r="E38" s="21">
        <f>'Historical IS'!E32</f>
        <v>14999000000</v>
      </c>
      <c r="F38" s="21">
        <f>'Historical IS'!F32</f>
        <v>7130000000</v>
      </c>
    </row>
    <row r="39" spans="1:6" x14ac:dyDescent="0.2">
      <c r="A39" s="11" t="s">
        <v>130</v>
      </c>
      <c r="B39" s="21">
        <f>'Historical IS'!B27</f>
        <v>1154000000</v>
      </c>
      <c r="C39" s="21">
        <f>'Historical IS'!C27</f>
        <v>6343000000</v>
      </c>
      <c r="D39" s="21">
        <f>'Historical IS'!D27</f>
        <v>13719000000</v>
      </c>
      <c r="E39" s="21">
        <f>'Historical IS'!E27</f>
        <v>9973000000</v>
      </c>
      <c r="F39" s="21">
        <f>'Historical IS'!F27</f>
        <v>8990000000</v>
      </c>
    </row>
    <row r="40" spans="1:6" x14ac:dyDescent="0.2">
      <c r="A40" s="11" t="s">
        <v>131</v>
      </c>
      <c r="B40" s="18">
        <f>'Historical IS'!B17</f>
        <v>1994000000</v>
      </c>
      <c r="C40" s="18">
        <f>'Historical IS'!C17</f>
        <v>6523000000</v>
      </c>
      <c r="D40" s="18">
        <f>'Historical IS'!D17</f>
        <v>13656000000</v>
      </c>
      <c r="E40" s="18">
        <f>'Historical IS'!E17</f>
        <v>8891000000</v>
      </c>
      <c r="F40" s="18">
        <f>'Historical IS'!F17</f>
        <v>7076000000</v>
      </c>
    </row>
    <row r="41" spans="1:6" x14ac:dyDescent="0.2">
      <c r="A41" s="11" t="s">
        <v>132</v>
      </c>
      <c r="B41" s="18">
        <f>'Cash Flow'!F5 + B40</f>
        <v>7362000000</v>
      </c>
      <c r="C41" s="18">
        <f>'Cash Flow'!G5 + C40</f>
        <v>6523000000</v>
      </c>
      <c r="D41" s="18">
        <f>'Cash Flow'!H5 + D40</f>
        <v>13656000000.054949</v>
      </c>
      <c r="E41" s="18">
        <f>'Cash Flow'!I5 + E40</f>
        <v>8891000000</v>
      </c>
      <c r="F41" s="18">
        <f>'Cash Flow'!J5 + F40</f>
        <v>7076000000</v>
      </c>
    </row>
  </sheetData>
  <mergeCells count="8">
    <mergeCell ref="A37:F37"/>
    <mergeCell ref="I1:N1"/>
    <mergeCell ref="I23:N23"/>
    <mergeCell ref="A2:F2"/>
    <mergeCell ref="A10:F10"/>
    <mergeCell ref="A21:F21"/>
    <mergeCell ref="A25:F25"/>
    <mergeCell ref="A30:F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9A869-8C8B-9342-AE63-9315FE7720B9}">
  <dimension ref="A1:AQ53"/>
  <sheetViews>
    <sheetView topLeftCell="Z2" zoomScale="82" zoomScaleNormal="10" workbookViewId="0">
      <selection activeCell="AN45" sqref="AN45"/>
    </sheetView>
  </sheetViews>
  <sheetFormatPr baseColWidth="10" defaultRowHeight="15" x14ac:dyDescent="0.2"/>
  <cols>
    <col min="1" max="1" width="20.6640625" customWidth="1"/>
    <col min="2" max="2" width="14.33203125" customWidth="1"/>
    <col min="3" max="3" width="17" customWidth="1"/>
    <col min="4" max="4" width="17.1640625" customWidth="1"/>
    <col min="5" max="5" width="17.33203125" customWidth="1"/>
    <col min="6" max="6" width="16.83203125" customWidth="1"/>
    <col min="7" max="7" width="16.6640625" customWidth="1"/>
    <col min="8" max="8" width="16.83203125" customWidth="1"/>
    <col min="9" max="9" width="14.1640625" customWidth="1"/>
    <col min="10" max="10" width="14.33203125" customWidth="1"/>
    <col min="11" max="12" width="13.83203125" customWidth="1"/>
    <col min="13" max="14" width="15.1640625" customWidth="1"/>
    <col min="15" max="15" width="14.1640625" customWidth="1"/>
    <col min="16" max="16" width="12.83203125" customWidth="1"/>
    <col min="17" max="17" width="16.1640625" customWidth="1"/>
    <col min="18" max="19" width="15.83203125" customWidth="1"/>
    <col min="20" max="20" width="15.6640625" customWidth="1"/>
    <col min="21" max="21" width="15.83203125" customWidth="1"/>
    <col min="22" max="22" width="15.6640625" customWidth="1"/>
    <col min="23" max="24" width="16.5" customWidth="1"/>
    <col min="25" max="25" width="19.5" customWidth="1"/>
    <col min="26" max="26" width="16.1640625" customWidth="1"/>
    <col min="27" max="27" width="16.33203125" customWidth="1"/>
    <col min="28" max="28" width="16.5" customWidth="1"/>
    <col min="29" max="29" width="15.33203125" customWidth="1"/>
    <col min="30" max="31" width="15.1640625" customWidth="1"/>
    <col min="32" max="32" width="15" customWidth="1"/>
    <col min="33" max="35" width="15.1640625" customWidth="1"/>
    <col min="36" max="40" width="15" customWidth="1"/>
    <col min="41" max="42" width="15.1640625" customWidth="1"/>
    <col min="43" max="43" width="15" customWidth="1"/>
  </cols>
  <sheetData>
    <row r="1" spans="1:43" x14ac:dyDescent="0.2">
      <c r="A1" s="90" t="s">
        <v>161</v>
      </c>
      <c r="B1" s="96"/>
      <c r="C1" s="96"/>
      <c r="D1" s="96"/>
      <c r="E1" s="96"/>
      <c r="F1" s="96"/>
      <c r="G1" s="96"/>
      <c r="H1" s="96"/>
      <c r="I1" s="96"/>
      <c r="J1" s="96"/>
      <c r="K1" s="97"/>
      <c r="L1" s="93" t="s">
        <v>200</v>
      </c>
      <c r="M1" s="93"/>
      <c r="N1" s="93"/>
      <c r="O1" s="93"/>
      <c r="P1" s="93"/>
    </row>
    <row r="2" spans="1:43" x14ac:dyDescent="0.2">
      <c r="A2" s="8"/>
      <c r="B2" s="8">
        <v>2015</v>
      </c>
      <c r="C2" s="8">
        <v>2016</v>
      </c>
      <c r="D2" s="8">
        <v>2017</v>
      </c>
      <c r="E2" s="8">
        <v>2018</v>
      </c>
      <c r="F2" s="8">
        <v>2019</v>
      </c>
      <c r="G2" s="8">
        <v>2020</v>
      </c>
      <c r="H2" s="8">
        <v>2021</v>
      </c>
      <c r="I2" s="8">
        <v>2022</v>
      </c>
      <c r="J2" s="8">
        <v>2023</v>
      </c>
      <c r="K2" s="8">
        <v>2024</v>
      </c>
      <c r="L2" s="35" t="s">
        <v>166</v>
      </c>
      <c r="M2" s="35" t="s">
        <v>167</v>
      </c>
      <c r="N2" s="35" t="s">
        <v>168</v>
      </c>
      <c r="O2" s="35" t="s">
        <v>169</v>
      </c>
      <c r="P2" s="35" t="s">
        <v>171</v>
      </c>
    </row>
    <row r="3" spans="1:43" x14ac:dyDescent="0.2">
      <c r="A3" s="8" t="s">
        <v>154</v>
      </c>
      <c r="B3" s="17">
        <v>4046.0250000000001</v>
      </c>
      <c r="C3" s="17">
        <v>7000.1319999999996</v>
      </c>
      <c r="D3" s="17">
        <v>11759</v>
      </c>
      <c r="E3" s="17">
        <v>21461</v>
      </c>
      <c r="F3" s="17">
        <v>24578</v>
      </c>
      <c r="G3" s="17">
        <v>31536</v>
      </c>
      <c r="H3" s="17">
        <v>53823</v>
      </c>
      <c r="I3" s="17">
        <v>81462</v>
      </c>
      <c r="J3" s="17">
        <v>96773</v>
      </c>
      <c r="K3" s="17">
        <v>97690</v>
      </c>
      <c r="L3" s="17">
        <f>AM7</f>
        <v>98615.689293501273</v>
      </c>
      <c r="M3" s="17">
        <f t="shared" ref="M3:P3" si="0">AN7</f>
        <v>96150.297061163743</v>
      </c>
      <c r="N3" s="17">
        <f t="shared" si="0"/>
        <v>100957.81191422194</v>
      </c>
      <c r="O3" s="17">
        <f t="shared" si="0"/>
        <v>109034.43686735971</v>
      </c>
      <c r="P3" s="17">
        <f t="shared" si="0"/>
        <v>115576.5030794013</v>
      </c>
    </row>
    <row r="4" spans="1:43" x14ac:dyDescent="0.2">
      <c r="A4" s="8" t="s">
        <v>160</v>
      </c>
      <c r="B4" s="17">
        <v>149558</v>
      </c>
      <c r="C4" s="17">
        <v>151800</v>
      </c>
      <c r="D4" s="17">
        <v>156776</v>
      </c>
      <c r="E4" s="17">
        <v>160338</v>
      </c>
      <c r="F4" s="17">
        <v>155900</v>
      </c>
      <c r="G4" s="17">
        <v>127144</v>
      </c>
      <c r="H4" s="17">
        <v>136341</v>
      </c>
      <c r="I4" s="17">
        <v>158057</v>
      </c>
      <c r="J4" s="17">
        <v>176191</v>
      </c>
      <c r="K4" s="17">
        <v>184992</v>
      </c>
      <c r="AL4" s="38"/>
    </row>
    <row r="5" spans="1:43" x14ac:dyDescent="0.2">
      <c r="A5" s="8" t="s">
        <v>155</v>
      </c>
      <c r="B5" s="17">
        <v>228160</v>
      </c>
      <c r="C5" s="17">
        <v>231080</v>
      </c>
      <c r="D5" s="17">
        <v>258000</v>
      </c>
      <c r="E5" s="17">
        <v>278340</v>
      </c>
      <c r="F5" s="17">
        <v>275740</v>
      </c>
      <c r="G5" s="17">
        <v>245610</v>
      </c>
      <c r="H5" s="17">
        <v>296010</v>
      </c>
      <c r="I5" s="17">
        <v>294200</v>
      </c>
      <c r="J5" s="17">
        <v>348810</v>
      </c>
      <c r="K5" s="17">
        <v>351310</v>
      </c>
      <c r="AB5" s="39" t="s">
        <v>173</v>
      </c>
      <c r="AC5" s="39"/>
      <c r="AD5" s="39"/>
      <c r="AE5" s="39"/>
      <c r="AF5" s="39"/>
      <c r="AG5" s="39"/>
      <c r="AH5" s="39"/>
      <c r="AI5" s="39"/>
      <c r="AJ5" s="39"/>
      <c r="AK5" s="39"/>
      <c r="AL5" s="39"/>
      <c r="AM5" s="39"/>
      <c r="AN5" s="39"/>
      <c r="AO5" s="39"/>
      <c r="AP5" s="39"/>
      <c r="AQ5" s="39"/>
    </row>
    <row r="6" spans="1:43" x14ac:dyDescent="0.2">
      <c r="A6" s="8" t="s">
        <v>156</v>
      </c>
      <c r="B6" s="17">
        <v>152360</v>
      </c>
      <c r="C6" s="17">
        <v>166380</v>
      </c>
      <c r="D6" s="17">
        <v>145590</v>
      </c>
      <c r="E6" s="17">
        <v>147050</v>
      </c>
      <c r="F6" s="17">
        <v>137240</v>
      </c>
      <c r="G6" s="17">
        <v>122490</v>
      </c>
      <c r="H6" s="17">
        <v>127004</v>
      </c>
      <c r="I6" s="17">
        <v>156735</v>
      </c>
      <c r="J6" s="17">
        <v>171842</v>
      </c>
      <c r="K6" s="17">
        <v>187442</v>
      </c>
      <c r="AB6" s="36"/>
      <c r="AC6" s="19">
        <v>2015</v>
      </c>
      <c r="AD6" s="19">
        <v>2016</v>
      </c>
      <c r="AE6" s="19">
        <v>2017</v>
      </c>
      <c r="AF6" s="19">
        <v>2018</v>
      </c>
      <c r="AG6" s="19">
        <v>2019</v>
      </c>
      <c r="AH6" s="19">
        <v>2020</v>
      </c>
      <c r="AI6" s="19">
        <v>2021</v>
      </c>
      <c r="AJ6" s="19">
        <v>2022</v>
      </c>
      <c r="AK6" s="19">
        <v>2023</v>
      </c>
      <c r="AL6" s="19">
        <v>2024</v>
      </c>
      <c r="AM6" s="37" t="s">
        <v>166</v>
      </c>
      <c r="AN6" s="37" t="s">
        <v>167</v>
      </c>
      <c r="AO6" s="37" t="s">
        <v>168</v>
      </c>
      <c r="AP6" s="37" t="s">
        <v>169</v>
      </c>
      <c r="AQ6" s="37" t="s">
        <v>171</v>
      </c>
    </row>
    <row r="7" spans="1:43" x14ac:dyDescent="0.2">
      <c r="AB7" s="19" t="s">
        <v>172</v>
      </c>
      <c r="AC7" s="17">
        <f t="shared" ref="AC7:AL7" si="1">B3</f>
        <v>4046.0250000000001</v>
      </c>
      <c r="AD7" s="17">
        <f t="shared" si="1"/>
        <v>7000.1319999999996</v>
      </c>
      <c r="AE7" s="17">
        <f t="shared" si="1"/>
        <v>11759</v>
      </c>
      <c r="AF7" s="17">
        <f t="shared" si="1"/>
        <v>21461</v>
      </c>
      <c r="AG7" s="17">
        <f t="shared" si="1"/>
        <v>24578</v>
      </c>
      <c r="AH7" s="17">
        <f t="shared" si="1"/>
        <v>31536</v>
      </c>
      <c r="AI7" s="17">
        <f t="shared" si="1"/>
        <v>53823</v>
      </c>
      <c r="AJ7" s="17">
        <f t="shared" si="1"/>
        <v>81462</v>
      </c>
      <c r="AK7" s="17">
        <f t="shared" si="1"/>
        <v>96773</v>
      </c>
      <c r="AL7" s="17">
        <f t="shared" si="1"/>
        <v>97690</v>
      </c>
      <c r="AM7" s="17">
        <f>(1+AL8)*AL7</f>
        <v>98615.689293501273</v>
      </c>
      <c r="AN7" s="17">
        <f t="shared" ref="AN7:AQ7" si="2">(1+AM8)*AM7</f>
        <v>96150.297061163743</v>
      </c>
      <c r="AO7" s="17">
        <f t="shared" si="2"/>
        <v>100957.81191422194</v>
      </c>
      <c r="AP7" s="17">
        <f t="shared" si="2"/>
        <v>109034.43686735971</v>
      </c>
      <c r="AQ7" s="17">
        <f t="shared" si="2"/>
        <v>115576.5030794013</v>
      </c>
    </row>
    <row r="8" spans="1:43" x14ac:dyDescent="0.2">
      <c r="AB8" s="19" t="s">
        <v>170</v>
      </c>
      <c r="AC8" s="25"/>
      <c r="AD8" s="25">
        <f t="shared" ref="AD8:AL8" si="3">C11</f>
        <v>0.73012574069611513</v>
      </c>
      <c r="AE8" s="25">
        <f t="shared" si="3"/>
        <v>0.67982546614835271</v>
      </c>
      <c r="AF8" s="25">
        <f t="shared" si="3"/>
        <v>0.8250701590271281</v>
      </c>
      <c r="AG8" s="25">
        <f t="shared" si="3"/>
        <v>0.14524020315921904</v>
      </c>
      <c r="AH8" s="25">
        <f t="shared" si="3"/>
        <v>0.28309870615998045</v>
      </c>
      <c r="AI8" s="25">
        <f t="shared" si="3"/>
        <v>0.70671613394216137</v>
      </c>
      <c r="AJ8" s="25">
        <f t="shared" si="3"/>
        <v>0.51351652639206291</v>
      </c>
      <c r="AK8" s="25">
        <f t="shared" si="3"/>
        <v>0.18795266504627925</v>
      </c>
      <c r="AL8" s="25">
        <f t="shared" si="3"/>
        <v>9.4757835346635944E-3</v>
      </c>
      <c r="AM8" s="25">
        <v>-2.5000000000000001E-2</v>
      </c>
      <c r="AN8" s="25">
        <v>0.05</v>
      </c>
      <c r="AO8" s="25">
        <v>0.08</v>
      </c>
      <c r="AP8" s="25">
        <v>0.06</v>
      </c>
      <c r="AQ8" s="25">
        <v>0.06</v>
      </c>
    </row>
    <row r="9" spans="1:43" x14ac:dyDescent="0.2">
      <c r="A9" s="90" t="s">
        <v>157</v>
      </c>
      <c r="B9" s="96"/>
      <c r="C9" s="96"/>
      <c r="D9" s="96"/>
      <c r="E9" s="96"/>
      <c r="F9" s="96"/>
      <c r="G9" s="96"/>
      <c r="H9" s="96"/>
      <c r="I9" s="96"/>
      <c r="J9" s="96"/>
      <c r="K9" s="97"/>
      <c r="L9" s="93" t="s">
        <v>199</v>
      </c>
      <c r="M9" s="93"/>
      <c r="N9" s="93"/>
      <c r="O9" s="93"/>
      <c r="P9" s="93"/>
    </row>
    <row r="10" spans="1:43" x14ac:dyDescent="0.2">
      <c r="A10" s="8"/>
      <c r="B10" s="8"/>
      <c r="C10" s="8">
        <v>2016</v>
      </c>
      <c r="D10" s="8">
        <v>2017</v>
      </c>
      <c r="E10" s="8">
        <v>2018</v>
      </c>
      <c r="F10" s="8">
        <v>2019</v>
      </c>
      <c r="G10" s="8">
        <v>2020</v>
      </c>
      <c r="H10" s="8">
        <v>2021</v>
      </c>
      <c r="I10" s="8">
        <v>2022</v>
      </c>
      <c r="J10" s="8">
        <v>2023</v>
      </c>
      <c r="K10" s="8">
        <v>2024</v>
      </c>
      <c r="L10" s="35" t="s">
        <v>166</v>
      </c>
      <c r="M10" s="35" t="s">
        <v>167</v>
      </c>
      <c r="N10" s="35" t="s">
        <v>168</v>
      </c>
      <c r="O10" s="35" t="s">
        <v>169</v>
      </c>
      <c r="P10" s="35" t="s">
        <v>171</v>
      </c>
      <c r="AB10" s="39" t="s">
        <v>174</v>
      </c>
      <c r="AC10" s="39"/>
      <c r="AD10" s="39"/>
      <c r="AE10" s="39"/>
      <c r="AF10" s="39"/>
      <c r="AG10" s="39"/>
      <c r="AH10" s="39"/>
      <c r="AI10" s="39"/>
      <c r="AJ10" s="39"/>
      <c r="AK10" s="39"/>
      <c r="AL10" s="39"/>
      <c r="AM10" s="39"/>
      <c r="AN10" s="39"/>
      <c r="AO10" s="39"/>
      <c r="AP10" s="39"/>
      <c r="AQ10" s="39"/>
    </row>
    <row r="11" spans="1:43" x14ac:dyDescent="0.2">
      <c r="A11" s="8" t="s">
        <v>154</v>
      </c>
      <c r="B11" s="20"/>
      <c r="C11" s="25">
        <f t="shared" ref="C11:K11" si="4">(C3-B3)/B3</f>
        <v>0.73012574069611513</v>
      </c>
      <c r="D11" s="25">
        <f t="shared" si="4"/>
        <v>0.67982546614835271</v>
      </c>
      <c r="E11" s="25">
        <f t="shared" si="4"/>
        <v>0.8250701590271281</v>
      </c>
      <c r="F11" s="25">
        <f t="shared" si="4"/>
        <v>0.14524020315921904</v>
      </c>
      <c r="G11" s="25">
        <f t="shared" si="4"/>
        <v>0.28309870615998045</v>
      </c>
      <c r="H11" s="25">
        <f t="shared" si="4"/>
        <v>0.70671613394216137</v>
      </c>
      <c r="I11" s="25">
        <f t="shared" si="4"/>
        <v>0.51351652639206291</v>
      </c>
      <c r="J11" s="25">
        <f t="shared" si="4"/>
        <v>0.18795266504627925</v>
      </c>
      <c r="K11" s="25">
        <f t="shared" si="4"/>
        <v>9.4757835346635944E-3</v>
      </c>
      <c r="L11" s="25">
        <f>AM8</f>
        <v>-2.5000000000000001E-2</v>
      </c>
      <c r="M11" s="25">
        <f t="shared" ref="M11:P11" si="5">AN8</f>
        <v>0.05</v>
      </c>
      <c r="N11" s="25">
        <f t="shared" si="5"/>
        <v>0.08</v>
      </c>
      <c r="O11" s="25">
        <f t="shared" si="5"/>
        <v>0.06</v>
      </c>
      <c r="P11" s="25">
        <f t="shared" si="5"/>
        <v>0.06</v>
      </c>
      <c r="AB11" s="36"/>
      <c r="AC11" s="19">
        <v>2015</v>
      </c>
      <c r="AD11" s="19">
        <v>2016</v>
      </c>
      <c r="AE11" s="19">
        <v>2017</v>
      </c>
      <c r="AF11" s="19">
        <v>2018</v>
      </c>
      <c r="AG11" s="19">
        <v>2019</v>
      </c>
      <c r="AH11" s="19">
        <v>2020</v>
      </c>
      <c r="AI11" s="19">
        <v>2021</v>
      </c>
      <c r="AJ11" s="19">
        <v>2022</v>
      </c>
      <c r="AK11" s="19">
        <v>2023</v>
      </c>
      <c r="AL11" s="19">
        <v>2024</v>
      </c>
      <c r="AM11" s="37" t="s">
        <v>166</v>
      </c>
      <c r="AN11" s="37" t="s">
        <v>167</v>
      </c>
      <c r="AO11" s="37" t="s">
        <v>168</v>
      </c>
      <c r="AP11" s="37" t="s">
        <v>169</v>
      </c>
      <c r="AQ11" s="37" t="s">
        <v>171</v>
      </c>
    </row>
    <row r="12" spans="1:43" x14ac:dyDescent="0.2">
      <c r="A12" s="8" t="s">
        <v>160</v>
      </c>
      <c r="B12" s="20"/>
      <c r="C12" s="25">
        <f>(C4-B4)/B4</f>
        <v>1.4990839674240095E-2</v>
      </c>
      <c r="D12" s="25">
        <f t="shared" ref="D12:K14" si="6">(D4-C4)/C4</f>
        <v>3.2779973649538864E-2</v>
      </c>
      <c r="E12" s="25">
        <f t="shared" si="6"/>
        <v>2.2720314333826607E-2</v>
      </c>
      <c r="F12" s="25">
        <f t="shared" si="6"/>
        <v>-2.7679028053237537E-2</v>
      </c>
      <c r="G12" s="25">
        <f t="shared" si="6"/>
        <v>-0.18445157152020525</v>
      </c>
      <c r="H12" s="25">
        <f t="shared" si="6"/>
        <v>7.2335304851192356E-2</v>
      </c>
      <c r="I12" s="25">
        <f t="shared" si="6"/>
        <v>0.15927710666637329</v>
      </c>
      <c r="J12" s="25">
        <f t="shared" si="6"/>
        <v>0.11473076168723942</v>
      </c>
      <c r="K12" s="25">
        <f t="shared" si="6"/>
        <v>4.9951473117242087E-2</v>
      </c>
      <c r="M12" s="6"/>
      <c r="AB12" s="19" t="s">
        <v>172</v>
      </c>
      <c r="AC12" s="17">
        <f t="shared" ref="AC12:AL12" si="7">B3</f>
        <v>4046.0250000000001</v>
      </c>
      <c r="AD12" s="17">
        <f t="shared" si="7"/>
        <v>7000.1319999999996</v>
      </c>
      <c r="AE12" s="17">
        <f t="shared" si="7"/>
        <v>11759</v>
      </c>
      <c r="AF12" s="17">
        <f t="shared" si="7"/>
        <v>21461</v>
      </c>
      <c r="AG12" s="17">
        <f t="shared" si="7"/>
        <v>24578</v>
      </c>
      <c r="AH12" s="17">
        <f t="shared" si="7"/>
        <v>31536</v>
      </c>
      <c r="AI12" s="17">
        <f t="shared" si="7"/>
        <v>53823</v>
      </c>
      <c r="AJ12" s="17">
        <f t="shared" si="7"/>
        <v>81462</v>
      </c>
      <c r="AK12" s="17">
        <f t="shared" si="7"/>
        <v>96773</v>
      </c>
      <c r="AL12" s="17">
        <f t="shared" si="7"/>
        <v>97690</v>
      </c>
      <c r="AM12" s="17">
        <f>(1+AM13)*AL12</f>
        <v>90363.25</v>
      </c>
      <c r="AN12" s="17">
        <f t="shared" ref="AN12:AQ12" si="8">(1+AN13)*AM12</f>
        <v>90363.25</v>
      </c>
      <c r="AO12" s="17">
        <f t="shared" si="8"/>
        <v>94881.412500000006</v>
      </c>
      <c r="AP12" s="17">
        <f t="shared" si="8"/>
        <v>97253.447812500002</v>
      </c>
      <c r="AQ12" s="17">
        <f t="shared" si="8"/>
        <v>99684.784007812501</v>
      </c>
    </row>
    <row r="13" spans="1:43" x14ac:dyDescent="0.2">
      <c r="A13" s="8" t="s">
        <v>155</v>
      </c>
      <c r="B13" s="20"/>
      <c r="C13" s="25">
        <f>(C5-B5)/B5</f>
        <v>1.2798036465638148E-2</v>
      </c>
      <c r="D13" s="25">
        <f t="shared" si="6"/>
        <v>0.11649645144538688</v>
      </c>
      <c r="E13" s="25">
        <f t="shared" si="6"/>
        <v>7.8837209302325587E-2</v>
      </c>
      <c r="F13" s="25">
        <f t="shared" si="6"/>
        <v>-9.3410936264999647E-3</v>
      </c>
      <c r="G13" s="25">
        <f t="shared" si="6"/>
        <v>-0.10926960179879597</v>
      </c>
      <c r="H13" s="25">
        <f t="shared" si="6"/>
        <v>0.20520337119824111</v>
      </c>
      <c r="I13" s="25">
        <f t="shared" si="6"/>
        <v>-6.114658288571332E-3</v>
      </c>
      <c r="J13" s="25">
        <f t="shared" si="6"/>
        <v>0.18562202583276682</v>
      </c>
      <c r="K13" s="25">
        <f t="shared" si="6"/>
        <v>7.1672257102720679E-3</v>
      </c>
      <c r="AB13" s="19" t="s">
        <v>170</v>
      </c>
      <c r="AC13" s="25"/>
      <c r="AD13" s="25">
        <f t="shared" ref="AD13:AL13" si="9">C11</f>
        <v>0.73012574069611513</v>
      </c>
      <c r="AE13" s="25">
        <f t="shared" si="9"/>
        <v>0.67982546614835271</v>
      </c>
      <c r="AF13" s="25">
        <f t="shared" si="9"/>
        <v>0.8250701590271281</v>
      </c>
      <c r="AG13" s="25">
        <f t="shared" si="9"/>
        <v>0.14524020315921904</v>
      </c>
      <c r="AH13" s="25">
        <f t="shared" si="9"/>
        <v>0.28309870615998045</v>
      </c>
      <c r="AI13" s="25">
        <f t="shared" si="9"/>
        <v>0.70671613394216137</v>
      </c>
      <c r="AJ13" s="25">
        <f t="shared" si="9"/>
        <v>0.51351652639206291</v>
      </c>
      <c r="AK13" s="25">
        <f t="shared" si="9"/>
        <v>0.18795266504627925</v>
      </c>
      <c r="AL13" s="25">
        <f t="shared" si="9"/>
        <v>9.4757835346635944E-3</v>
      </c>
      <c r="AM13" s="25">
        <f>-7.5%</f>
        <v>-7.4999999999999997E-2</v>
      </c>
      <c r="AN13" s="25">
        <v>0</v>
      </c>
      <c r="AO13" s="25">
        <v>0.05</v>
      </c>
      <c r="AP13" s="25">
        <v>2.5000000000000001E-2</v>
      </c>
      <c r="AQ13" s="25">
        <v>2.5000000000000001E-2</v>
      </c>
    </row>
    <row r="14" spans="1:43" x14ac:dyDescent="0.2">
      <c r="A14" s="8" t="s">
        <v>156</v>
      </c>
      <c r="B14" s="20"/>
      <c r="C14" s="25">
        <f>(C6-B6)/B6</f>
        <v>9.2018902599107374E-2</v>
      </c>
      <c r="D14" s="25">
        <f t="shared" si="6"/>
        <v>-0.12495492246664262</v>
      </c>
      <c r="E14" s="25">
        <f t="shared" si="6"/>
        <v>1.0028161274812831E-2</v>
      </c>
      <c r="F14" s="25">
        <f t="shared" si="6"/>
        <v>-6.6712002720163213E-2</v>
      </c>
      <c r="G14" s="25">
        <f t="shared" si="6"/>
        <v>-0.10747595453220635</v>
      </c>
      <c r="H14" s="25">
        <f t="shared" si="6"/>
        <v>3.6851987917381014E-2</v>
      </c>
      <c r="I14" s="25">
        <f t="shared" si="6"/>
        <v>0.23409498913420049</v>
      </c>
      <c r="J14" s="25">
        <f t="shared" si="6"/>
        <v>9.6385619038504483E-2</v>
      </c>
      <c r="K14" s="25">
        <f t="shared" si="6"/>
        <v>9.0781066328371407E-2</v>
      </c>
      <c r="AC14" s="2"/>
    </row>
    <row r="15" spans="1:43" x14ac:dyDescent="0.2">
      <c r="A15" s="4"/>
      <c r="C15" s="6"/>
      <c r="D15" s="6"/>
      <c r="E15" s="6"/>
      <c r="F15" s="6"/>
      <c r="G15" s="6"/>
      <c r="H15" s="6"/>
      <c r="I15" s="6"/>
      <c r="J15" s="6"/>
      <c r="K15" s="6"/>
      <c r="AB15" s="39" t="s">
        <v>175</v>
      </c>
      <c r="AC15" s="39"/>
      <c r="AD15" s="39"/>
      <c r="AE15" s="39"/>
      <c r="AF15" s="39"/>
      <c r="AG15" s="39"/>
      <c r="AH15" s="39"/>
      <c r="AI15" s="39"/>
      <c r="AJ15" s="39"/>
      <c r="AK15" s="39"/>
      <c r="AL15" s="39"/>
      <c r="AM15" s="39"/>
      <c r="AN15" s="39"/>
      <c r="AO15" s="39"/>
      <c r="AP15" s="39"/>
      <c r="AQ15" s="39"/>
    </row>
    <row r="16" spans="1:43" x14ac:dyDescent="0.2">
      <c r="A16" s="4"/>
      <c r="C16" s="6"/>
      <c r="D16" s="6"/>
      <c r="E16" s="6"/>
      <c r="F16" s="6"/>
      <c r="G16" s="6"/>
      <c r="H16" s="6"/>
      <c r="I16" s="6"/>
      <c r="J16" s="6"/>
      <c r="K16" s="6"/>
      <c r="AB16" s="36"/>
      <c r="AC16" s="19">
        <v>2015</v>
      </c>
      <c r="AD16" s="19">
        <v>2016</v>
      </c>
      <c r="AE16" s="19">
        <v>2017</v>
      </c>
      <c r="AF16" s="19">
        <v>2018</v>
      </c>
      <c r="AG16" s="19">
        <v>2019</v>
      </c>
      <c r="AH16" s="19">
        <v>2020</v>
      </c>
      <c r="AI16" s="19">
        <v>2021</v>
      </c>
      <c r="AJ16" s="19">
        <v>2022</v>
      </c>
      <c r="AK16" s="19">
        <v>2023</v>
      </c>
      <c r="AL16" s="19">
        <v>2024</v>
      </c>
      <c r="AM16" s="37" t="s">
        <v>166</v>
      </c>
      <c r="AN16" s="37" t="s">
        <v>167</v>
      </c>
      <c r="AO16" s="37" t="s">
        <v>168</v>
      </c>
      <c r="AP16" s="37" t="s">
        <v>169</v>
      </c>
      <c r="AQ16" s="37" t="s">
        <v>171</v>
      </c>
    </row>
    <row r="17" spans="1:43" x14ac:dyDescent="0.2">
      <c r="A17" s="90" t="s">
        <v>176</v>
      </c>
      <c r="B17" s="91"/>
      <c r="C17" s="91"/>
      <c r="D17" s="91"/>
      <c r="E17" s="91"/>
      <c r="F17" s="91"/>
      <c r="G17" s="91"/>
      <c r="H17" s="91"/>
      <c r="I17" s="91"/>
      <c r="J17" s="91"/>
      <c r="K17" s="92"/>
      <c r="AC17" s="17">
        <f t="shared" ref="AC17:AL17" si="10">B3</f>
        <v>4046.0250000000001</v>
      </c>
      <c r="AD17" s="17">
        <f t="shared" si="10"/>
        <v>7000.1319999999996</v>
      </c>
      <c r="AE17" s="17">
        <f t="shared" si="10"/>
        <v>11759</v>
      </c>
      <c r="AF17" s="17">
        <f t="shared" si="10"/>
        <v>21461</v>
      </c>
      <c r="AG17" s="17">
        <f t="shared" si="10"/>
        <v>24578</v>
      </c>
      <c r="AH17" s="17">
        <f t="shared" si="10"/>
        <v>31536</v>
      </c>
      <c r="AI17" s="17">
        <f t="shared" si="10"/>
        <v>53823</v>
      </c>
      <c r="AJ17" s="17">
        <f t="shared" si="10"/>
        <v>81462</v>
      </c>
      <c r="AK17" s="17">
        <f t="shared" si="10"/>
        <v>96773</v>
      </c>
      <c r="AL17" s="17">
        <f t="shared" si="10"/>
        <v>97690</v>
      </c>
      <c r="AM17" s="17">
        <f>(1+AM18)*AL17</f>
        <v>107459.00000000001</v>
      </c>
      <c r="AN17" s="17">
        <f t="shared" ref="AN17:AQ17" si="11">(1+AN18)*AM17</f>
        <v>134323.75000000003</v>
      </c>
      <c r="AO17" s="17">
        <f t="shared" si="11"/>
        <v>161188.50000000003</v>
      </c>
      <c r="AP17" s="17">
        <f t="shared" si="11"/>
        <v>185366.77500000002</v>
      </c>
      <c r="AQ17" s="17">
        <f t="shared" si="11"/>
        <v>208537.62187500001</v>
      </c>
    </row>
    <row r="18" spans="1:43" x14ac:dyDescent="0.2">
      <c r="A18" s="20"/>
      <c r="B18" s="20"/>
      <c r="C18" s="8">
        <v>2016</v>
      </c>
      <c r="D18" s="8">
        <v>2017</v>
      </c>
      <c r="E18" s="8">
        <v>2018</v>
      </c>
      <c r="F18" s="8">
        <v>2019</v>
      </c>
      <c r="G18" s="8">
        <v>2020</v>
      </c>
      <c r="H18" s="8">
        <v>2021</v>
      </c>
      <c r="I18" s="8">
        <v>2022</v>
      </c>
      <c r="J18" s="8">
        <v>2023</v>
      </c>
      <c r="K18" s="8">
        <v>2024</v>
      </c>
      <c r="AB18" s="19" t="s">
        <v>170</v>
      </c>
      <c r="AC18" s="25"/>
      <c r="AD18" s="25">
        <f t="shared" ref="AD18:AL18" si="12">C11</f>
        <v>0.73012574069611513</v>
      </c>
      <c r="AE18" s="25">
        <f t="shared" si="12"/>
        <v>0.67982546614835271</v>
      </c>
      <c r="AF18" s="25">
        <f t="shared" si="12"/>
        <v>0.8250701590271281</v>
      </c>
      <c r="AG18" s="25">
        <f t="shared" si="12"/>
        <v>0.14524020315921904</v>
      </c>
      <c r="AH18" s="25">
        <f t="shared" si="12"/>
        <v>0.28309870615998045</v>
      </c>
      <c r="AI18" s="25">
        <f t="shared" si="12"/>
        <v>0.70671613394216137</v>
      </c>
      <c r="AJ18" s="25">
        <f t="shared" si="12"/>
        <v>0.51351652639206291</v>
      </c>
      <c r="AK18" s="25">
        <f t="shared" si="12"/>
        <v>0.18795266504627925</v>
      </c>
      <c r="AL18" s="25">
        <f t="shared" si="12"/>
        <v>9.4757835346635944E-3</v>
      </c>
      <c r="AM18" s="25">
        <v>0.1</v>
      </c>
      <c r="AN18" s="25">
        <v>0.25</v>
      </c>
      <c r="AO18" s="25">
        <v>0.2</v>
      </c>
      <c r="AP18" s="25">
        <v>0.15</v>
      </c>
      <c r="AQ18" s="25">
        <v>0.125</v>
      </c>
    </row>
    <row r="19" spans="1:43" x14ac:dyDescent="0.2">
      <c r="A19" s="8" t="s">
        <v>164</v>
      </c>
      <c r="B19" s="20"/>
      <c r="C19" s="25">
        <v>1.2999999999999999E-2</v>
      </c>
      <c r="D19" s="25">
        <v>2.1000000000000001E-2</v>
      </c>
      <c r="E19" s="25">
        <v>2.4E-2</v>
      </c>
      <c r="F19" s="25">
        <v>1.7999999999999999E-2</v>
      </c>
      <c r="G19" s="25">
        <v>1.2E-2</v>
      </c>
      <c r="H19" s="25">
        <v>4.7E-2</v>
      </c>
      <c r="I19" s="25">
        <v>0.08</v>
      </c>
      <c r="J19" s="25">
        <v>4.1000000000000002E-2</v>
      </c>
      <c r="K19" s="25">
        <v>3.2000000000000001E-2</v>
      </c>
    </row>
    <row r="20" spans="1:43" x14ac:dyDescent="0.2">
      <c r="A20" s="8" t="s">
        <v>163</v>
      </c>
      <c r="B20" s="20"/>
      <c r="C20" s="25">
        <f t="shared" ref="C20:K20" si="13">C11-C19</f>
        <v>0.71712574069611512</v>
      </c>
      <c r="D20" s="25">
        <f t="shared" si="13"/>
        <v>0.65882546614835269</v>
      </c>
      <c r="E20" s="25">
        <f t="shared" si="13"/>
        <v>0.80107015902712808</v>
      </c>
      <c r="F20" s="25">
        <f t="shared" si="13"/>
        <v>0.12724020315921905</v>
      </c>
      <c r="G20" s="25">
        <f t="shared" si="13"/>
        <v>0.27109870615998044</v>
      </c>
      <c r="H20" s="25">
        <f t="shared" si="13"/>
        <v>0.65971613394216133</v>
      </c>
      <c r="I20" s="25">
        <f t="shared" si="13"/>
        <v>0.4335165263920629</v>
      </c>
      <c r="J20" s="25">
        <f t="shared" si="13"/>
        <v>0.14695266504627924</v>
      </c>
      <c r="K20" s="25">
        <f t="shared" si="13"/>
        <v>-2.2524216465336408E-2</v>
      </c>
    </row>
    <row r="21" spans="1:43" x14ac:dyDescent="0.2">
      <c r="A21" s="30"/>
      <c r="B21" s="31"/>
      <c r="C21" s="32"/>
      <c r="D21" s="32"/>
      <c r="E21" s="32"/>
      <c r="F21" s="32"/>
      <c r="G21" s="32"/>
      <c r="H21" s="32"/>
      <c r="I21" s="32"/>
      <c r="J21" s="32"/>
      <c r="K21" s="33"/>
    </row>
    <row r="22" spans="1:43" x14ac:dyDescent="0.2">
      <c r="A22" s="30"/>
      <c r="B22" s="31"/>
      <c r="C22" s="32"/>
      <c r="D22" s="32"/>
      <c r="E22" s="32"/>
      <c r="F22" s="32"/>
      <c r="G22" s="32"/>
      <c r="H22" s="32"/>
      <c r="I22" s="32"/>
      <c r="J22" s="32"/>
      <c r="K22" s="33"/>
    </row>
    <row r="23" spans="1:43" x14ac:dyDescent="0.2">
      <c r="A23" s="90" t="s">
        <v>162</v>
      </c>
      <c r="B23" s="96"/>
      <c r="C23" s="96"/>
      <c r="D23" s="96"/>
      <c r="E23" s="96"/>
      <c r="F23" s="96"/>
      <c r="G23" s="96"/>
      <c r="H23" s="96"/>
      <c r="I23" s="96"/>
      <c r="J23" s="96"/>
      <c r="K23" s="97"/>
      <c r="AB23" s="39" t="s">
        <v>345</v>
      </c>
      <c r="AC23" s="76"/>
      <c r="AD23" s="76"/>
      <c r="AE23" s="76"/>
      <c r="AF23" s="76"/>
      <c r="AG23" s="76"/>
      <c r="AH23" s="76"/>
      <c r="AI23" s="76"/>
      <c r="AJ23" s="76"/>
      <c r="AK23" s="76"/>
      <c r="AL23" s="76"/>
      <c r="AM23" s="76"/>
      <c r="AN23" s="76"/>
      <c r="AO23" s="76"/>
      <c r="AP23" s="76"/>
      <c r="AQ23" s="76"/>
    </row>
    <row r="24" spans="1:43" x14ac:dyDescent="0.2">
      <c r="A24" s="8"/>
      <c r="B24" s="8"/>
      <c r="C24" s="8">
        <v>2016</v>
      </c>
      <c r="D24" s="8">
        <v>2017</v>
      </c>
      <c r="E24" s="8">
        <v>2018</v>
      </c>
      <c r="F24" s="8">
        <v>2019</v>
      </c>
      <c r="G24" s="8">
        <v>2020</v>
      </c>
      <c r="H24" s="8">
        <v>2021</v>
      </c>
      <c r="I24" s="8">
        <v>2022</v>
      </c>
      <c r="J24" s="8">
        <v>2023</v>
      </c>
      <c r="K24" s="8">
        <v>2024</v>
      </c>
      <c r="AB24" s="36" t="s">
        <v>357</v>
      </c>
      <c r="AC24" s="19">
        <v>2015</v>
      </c>
      <c r="AD24" s="19">
        <v>2016</v>
      </c>
      <c r="AE24" s="19">
        <v>2017</v>
      </c>
      <c r="AF24" s="19">
        <v>2018</v>
      </c>
      <c r="AG24" s="19">
        <v>2019</v>
      </c>
      <c r="AH24" s="19">
        <v>2020</v>
      </c>
      <c r="AI24" s="19">
        <v>2021</v>
      </c>
      <c r="AJ24" s="19">
        <v>2022</v>
      </c>
      <c r="AK24" s="19">
        <v>2023</v>
      </c>
      <c r="AL24" s="19">
        <v>2024</v>
      </c>
      <c r="AM24" s="37" t="s">
        <v>166</v>
      </c>
      <c r="AN24" s="37" t="s">
        <v>167</v>
      </c>
      <c r="AO24" s="37" t="s">
        <v>168</v>
      </c>
      <c r="AP24" s="37" t="s">
        <v>169</v>
      </c>
      <c r="AQ24" s="37" t="s">
        <v>171</v>
      </c>
    </row>
    <row r="25" spans="1:43" x14ac:dyDescent="0.2">
      <c r="A25" s="8" t="s">
        <v>154</v>
      </c>
      <c r="B25" s="17"/>
      <c r="C25" s="17">
        <v>-667.34</v>
      </c>
      <c r="D25" s="17">
        <v>-1632</v>
      </c>
      <c r="E25" s="17">
        <v>-388</v>
      </c>
      <c r="F25" s="17">
        <v>-69</v>
      </c>
      <c r="G25" s="17">
        <v>1994</v>
      </c>
      <c r="H25" s="17">
        <v>6523</v>
      </c>
      <c r="I25" s="17">
        <v>13656</v>
      </c>
      <c r="J25" s="17">
        <v>8891</v>
      </c>
      <c r="K25" s="17">
        <v>7076</v>
      </c>
      <c r="AB25" s="19" t="s">
        <v>356</v>
      </c>
      <c r="AC25" s="17">
        <f>AC7</f>
        <v>4046.0250000000001</v>
      </c>
      <c r="AD25" s="17">
        <f t="shared" ref="AD25:AQ25" si="14">AD7</f>
        <v>7000.1319999999996</v>
      </c>
      <c r="AE25" s="17">
        <f t="shared" si="14"/>
        <v>11759</v>
      </c>
      <c r="AF25" s="17">
        <f t="shared" si="14"/>
        <v>21461</v>
      </c>
      <c r="AG25" s="17">
        <f t="shared" si="14"/>
        <v>24578</v>
      </c>
      <c r="AH25" s="17">
        <f t="shared" si="14"/>
        <v>31536</v>
      </c>
      <c r="AI25" s="17">
        <f t="shared" si="14"/>
        <v>53823</v>
      </c>
      <c r="AJ25" s="17">
        <f t="shared" si="14"/>
        <v>81462</v>
      </c>
      <c r="AK25" s="17">
        <f t="shared" si="14"/>
        <v>96773</v>
      </c>
      <c r="AL25" s="17">
        <f t="shared" si="14"/>
        <v>97690</v>
      </c>
      <c r="AM25" s="17">
        <f t="shared" si="14"/>
        <v>98615.689293501273</v>
      </c>
      <c r="AN25" s="17">
        <f t="shared" si="14"/>
        <v>96150.297061163743</v>
      </c>
      <c r="AO25" s="17">
        <f t="shared" si="14"/>
        <v>100957.81191422194</v>
      </c>
      <c r="AP25" s="17">
        <f t="shared" si="14"/>
        <v>109034.43686735971</v>
      </c>
      <c r="AQ25" s="17">
        <f t="shared" si="14"/>
        <v>115576.5030794013</v>
      </c>
    </row>
    <row r="26" spans="1:43" x14ac:dyDescent="0.2">
      <c r="A26" s="8" t="s">
        <v>160</v>
      </c>
      <c r="B26" s="17"/>
      <c r="C26" s="17">
        <v>5786</v>
      </c>
      <c r="D26" s="17">
        <v>4881</v>
      </c>
      <c r="E26" s="17">
        <v>3203</v>
      </c>
      <c r="F26" s="17">
        <v>574</v>
      </c>
      <c r="G26" s="17">
        <v>-4408</v>
      </c>
      <c r="H26" s="17">
        <v>4523</v>
      </c>
      <c r="I26" s="17">
        <v>6276</v>
      </c>
      <c r="J26" s="17">
        <v>5458</v>
      </c>
      <c r="K26" s="17">
        <v>5219</v>
      </c>
      <c r="AB26" s="19" t="s">
        <v>131</v>
      </c>
      <c r="AC26" s="20"/>
      <c r="AD26" s="17">
        <f>C25</f>
        <v>-667.34</v>
      </c>
      <c r="AE26" s="17">
        <f t="shared" ref="AE26:AH26" si="15">D25</f>
        <v>-1632</v>
      </c>
      <c r="AF26" s="17">
        <f t="shared" si="15"/>
        <v>-388</v>
      </c>
      <c r="AG26" s="17">
        <f t="shared" si="15"/>
        <v>-69</v>
      </c>
      <c r="AH26" s="17">
        <f t="shared" si="15"/>
        <v>1994</v>
      </c>
      <c r="AI26" s="17">
        <f>'CS Vertical IS'!$G$17*AI25</f>
        <v>5558.4876299327352</v>
      </c>
      <c r="AJ26" s="17">
        <f>'CS Vertical IS'!$G$17*AJ25</f>
        <v>8412.8628896490445</v>
      </c>
      <c r="AK26" s="17">
        <f>'CS Vertical IS'!$G$17*AK25</f>
        <v>9994.082890427524</v>
      </c>
      <c r="AL26" s="17">
        <f>'CS Vertical IS'!$G$17*AL25</f>
        <v>10088.7846565247</v>
      </c>
      <c r="AM26" s="17">
        <f>'CS Vertical IS'!$G$17*AM25</f>
        <v>10184.383796057762</v>
      </c>
      <c r="AN26" s="17">
        <f>'CS Vertical IS'!$G$17*AN25</f>
        <v>9929.7742011563187</v>
      </c>
      <c r="AO26" s="17">
        <f>'CS Vertical IS'!$G$17*AO25</f>
        <v>10426.262911214135</v>
      </c>
      <c r="AP26" s="17">
        <f>'CS Vertical IS'!$G$17*AP25</f>
        <v>11260.363944111266</v>
      </c>
      <c r="AQ26" s="17">
        <f>'CS Vertical IS'!$G$17*AQ25</f>
        <v>11935.985780757945</v>
      </c>
    </row>
    <row r="27" spans="1:43" x14ac:dyDescent="0.2">
      <c r="A27" s="8" t="s">
        <v>155</v>
      </c>
      <c r="B27" s="17"/>
      <c r="C27" s="17">
        <v>7860</v>
      </c>
      <c r="D27" s="17">
        <v>15620</v>
      </c>
      <c r="E27" s="17">
        <v>16440</v>
      </c>
      <c r="F27" s="17">
        <v>19000</v>
      </c>
      <c r="G27" s="17">
        <v>11050</v>
      </c>
      <c r="H27" s="17">
        <v>22800</v>
      </c>
      <c r="I27" s="17">
        <v>23310</v>
      </c>
      <c r="J27" s="17">
        <v>24430</v>
      </c>
      <c r="K27" s="17">
        <v>20630</v>
      </c>
      <c r="AB27" s="19" t="s">
        <v>129</v>
      </c>
      <c r="AC27" s="20"/>
      <c r="AD27" s="17">
        <f>C41</f>
        <v>-673</v>
      </c>
      <c r="AE27" s="17">
        <f t="shared" ref="AE27:AH27" si="16">D41</f>
        <v>-1962</v>
      </c>
      <c r="AF27" s="17">
        <f t="shared" si="16"/>
        <v>-976</v>
      </c>
      <c r="AG27" s="17">
        <f t="shared" si="16"/>
        <v>-862</v>
      </c>
      <c r="AH27" s="17">
        <f t="shared" si="16"/>
        <v>862</v>
      </c>
      <c r="AI27" s="17">
        <f t="shared" ref="AI27" si="17">H41</f>
        <v>5644</v>
      </c>
      <c r="AJ27" s="17">
        <f t="shared" ref="AJ27" si="18">I41</f>
        <v>12587</v>
      </c>
      <c r="AK27" s="17">
        <f t="shared" ref="AK27" si="19">J41</f>
        <v>14974</v>
      </c>
      <c r="AL27" s="17">
        <f t="shared" ref="AL27" si="20">K41</f>
        <v>7153</v>
      </c>
      <c r="AM27" s="17">
        <f>AM25*'CS Vertical IS'!$B$47</f>
        <v>10150.798721054662</v>
      </c>
      <c r="AN27" s="17">
        <f>AN25*'CS Vertical IS'!$B$47</f>
        <v>9897.0287530282967</v>
      </c>
      <c r="AO27" s="17">
        <f>AO25*'CS Vertical IS'!$B$47</f>
        <v>10391.880190679713</v>
      </c>
      <c r="AP27" s="17">
        <f>AP25*'CS Vertical IS'!$B$47</f>
        <v>11223.23060593409</v>
      </c>
      <c r="AQ27" s="17">
        <f>AQ25*'CS Vertical IS'!$B$47</f>
        <v>11896.624442290136</v>
      </c>
    </row>
    <row r="28" spans="1:43" x14ac:dyDescent="0.2">
      <c r="A28" s="8" t="s">
        <v>156</v>
      </c>
      <c r="B28" s="17"/>
      <c r="C28" s="17">
        <v>9690</v>
      </c>
      <c r="D28" s="17">
        <v>8600</v>
      </c>
      <c r="E28" s="17">
        <v>4440</v>
      </c>
      <c r="F28" s="17">
        <v>5480</v>
      </c>
      <c r="G28" s="17">
        <v>8560</v>
      </c>
      <c r="H28" s="17">
        <v>11430</v>
      </c>
      <c r="I28" s="17">
        <v>12000</v>
      </c>
      <c r="J28" s="17">
        <v>9620</v>
      </c>
      <c r="K28" s="17">
        <v>12720</v>
      </c>
      <c r="AD28" s="2"/>
      <c r="AE28" s="2"/>
      <c r="AF28" s="2"/>
      <c r="AG28" s="2"/>
      <c r="AH28" s="2"/>
      <c r="AI28" s="2"/>
      <c r="AJ28" s="2"/>
      <c r="AK28" s="2"/>
      <c r="AL28" s="2"/>
    </row>
    <row r="31" spans="1:43" x14ac:dyDescent="0.2">
      <c r="A31" s="90" t="s">
        <v>158</v>
      </c>
      <c r="B31" s="96"/>
      <c r="C31" s="96"/>
      <c r="D31" s="96"/>
      <c r="E31" s="96"/>
      <c r="F31" s="96"/>
      <c r="G31" s="96"/>
      <c r="H31" s="96"/>
      <c r="I31" s="96"/>
      <c r="J31" s="96"/>
      <c r="K31" s="97"/>
    </row>
    <row r="32" spans="1:43" x14ac:dyDescent="0.2">
      <c r="A32" s="8"/>
      <c r="B32" s="8"/>
      <c r="C32" s="8">
        <v>2016</v>
      </c>
      <c r="D32" s="8">
        <v>2017</v>
      </c>
      <c r="E32" s="8">
        <v>2018</v>
      </c>
      <c r="F32" s="8">
        <v>2019</v>
      </c>
      <c r="G32" s="8">
        <v>2020</v>
      </c>
      <c r="H32" s="8">
        <v>2021</v>
      </c>
      <c r="I32" s="8">
        <v>2022</v>
      </c>
      <c r="J32" s="8">
        <v>2023</v>
      </c>
      <c r="K32" s="8">
        <v>2024</v>
      </c>
    </row>
    <row r="33" spans="1:16" x14ac:dyDescent="0.2">
      <c r="A33" s="8" t="s">
        <v>154</v>
      </c>
      <c r="B33" s="20"/>
      <c r="C33" s="25">
        <f t="shared" ref="C33:K33" si="21">C25/C3</f>
        <v>-9.5332488015940284E-2</v>
      </c>
      <c r="D33" s="25">
        <f t="shared" si="21"/>
        <v>-0.13878731184624543</v>
      </c>
      <c r="E33" s="25">
        <f t="shared" si="21"/>
        <v>-1.8079306649270769E-2</v>
      </c>
      <c r="F33" s="25">
        <f t="shared" si="21"/>
        <v>-2.8073887216209618E-3</v>
      </c>
      <c r="G33" s="25">
        <f t="shared" si="21"/>
        <v>6.3229325215626589E-2</v>
      </c>
      <c r="H33" s="25">
        <f t="shared" si="21"/>
        <v>0.12119354179440016</v>
      </c>
      <c r="I33" s="25">
        <f t="shared" si="21"/>
        <v>0.16763644398615304</v>
      </c>
      <c r="J33" s="25">
        <f t="shared" si="21"/>
        <v>9.1874799789197395E-2</v>
      </c>
      <c r="K33" s="25">
        <f t="shared" si="21"/>
        <v>7.2433207083631893E-2</v>
      </c>
    </row>
    <row r="34" spans="1:16" x14ac:dyDescent="0.2">
      <c r="A34" s="8" t="s">
        <v>160</v>
      </c>
      <c r="B34" s="20"/>
      <c r="C34" s="25">
        <f t="shared" ref="C34:K34" si="22">C26/C4</f>
        <v>3.8115942028985508E-2</v>
      </c>
      <c r="D34" s="25">
        <f t="shared" si="22"/>
        <v>3.1133591876307598E-2</v>
      </c>
      <c r="E34" s="25">
        <f t="shared" si="22"/>
        <v>1.9976549539098654E-2</v>
      </c>
      <c r="F34" s="25">
        <f t="shared" si="22"/>
        <v>3.6818473380372035E-3</v>
      </c>
      <c r="G34" s="25">
        <f t="shared" si="22"/>
        <v>-3.4669351286730009E-2</v>
      </c>
      <c r="H34" s="25">
        <f t="shared" si="22"/>
        <v>3.317417357948086E-2</v>
      </c>
      <c r="I34" s="25">
        <f t="shared" si="22"/>
        <v>3.9707194240052639E-2</v>
      </c>
      <c r="J34" s="25">
        <f t="shared" si="22"/>
        <v>3.0977745741836985E-2</v>
      </c>
      <c r="K34" s="25">
        <f t="shared" si="22"/>
        <v>2.8212030790520672E-2</v>
      </c>
    </row>
    <row r="35" spans="1:16" x14ac:dyDescent="0.2">
      <c r="A35" s="8" t="s">
        <v>155</v>
      </c>
      <c r="B35" s="20"/>
      <c r="C35" s="25">
        <f t="shared" ref="C35:K35" si="23">C27/C5</f>
        <v>3.4014194218452483E-2</v>
      </c>
      <c r="D35" s="25">
        <f t="shared" si="23"/>
        <v>6.0542635658914726E-2</v>
      </c>
      <c r="E35" s="25">
        <f t="shared" si="23"/>
        <v>5.9064453546022848E-2</v>
      </c>
      <c r="F35" s="25">
        <f t="shared" si="23"/>
        <v>6.890549067962573E-2</v>
      </c>
      <c r="G35" s="25">
        <f t="shared" si="23"/>
        <v>4.4990024836122307E-2</v>
      </c>
      <c r="H35" s="25">
        <f t="shared" si="23"/>
        <v>7.7024424850511808E-2</v>
      </c>
      <c r="I35" s="25">
        <f t="shared" si="23"/>
        <v>7.9231815091774307E-2</v>
      </c>
      <c r="J35" s="25">
        <f t="shared" si="23"/>
        <v>7.0038129640778643E-2</v>
      </c>
      <c r="K35" s="25">
        <f t="shared" si="23"/>
        <v>5.8723065099200139E-2</v>
      </c>
    </row>
    <row r="36" spans="1:16" x14ac:dyDescent="0.2">
      <c r="A36" s="8" t="s">
        <v>156</v>
      </c>
      <c r="B36" s="20"/>
      <c r="C36" s="25">
        <f t="shared" ref="C36:K36" si="24">C28/C6</f>
        <v>5.8240173097728096E-2</v>
      </c>
      <c r="D36" s="25">
        <f t="shared" si="24"/>
        <v>5.90699910708153E-2</v>
      </c>
      <c r="E36" s="25">
        <f t="shared" si="24"/>
        <v>3.0193811628697723E-2</v>
      </c>
      <c r="F36" s="25">
        <f t="shared" si="24"/>
        <v>3.9930049548236667E-2</v>
      </c>
      <c r="G36" s="25">
        <f t="shared" si="24"/>
        <v>6.9883255775981715E-2</v>
      </c>
      <c r="H36" s="25">
        <f t="shared" si="24"/>
        <v>8.9997165443608071E-2</v>
      </c>
      <c r="I36" s="25">
        <f t="shared" si="24"/>
        <v>7.6562350464159254E-2</v>
      </c>
      <c r="J36" s="25">
        <f t="shared" si="24"/>
        <v>5.5981657569162367E-2</v>
      </c>
      <c r="K36" s="25">
        <f t="shared" si="24"/>
        <v>6.7860991666755577E-2</v>
      </c>
      <c r="L36" s="28"/>
      <c r="M36" s="28"/>
      <c r="N36" s="28"/>
      <c r="O36" s="28"/>
      <c r="P36" s="28"/>
    </row>
    <row r="38" spans="1:16" x14ac:dyDescent="0.2">
      <c r="M38" s="28"/>
      <c r="N38" s="28"/>
      <c r="O38" s="28"/>
      <c r="P38" s="28"/>
    </row>
    <row r="39" spans="1:16" x14ac:dyDescent="0.2">
      <c r="A39" s="90" t="s">
        <v>165</v>
      </c>
      <c r="B39" s="96"/>
      <c r="C39" s="96"/>
      <c r="D39" s="96"/>
      <c r="E39" s="96"/>
      <c r="F39" s="96"/>
      <c r="G39" s="96"/>
      <c r="H39" s="96"/>
      <c r="I39" s="96"/>
      <c r="J39" s="96"/>
      <c r="K39" s="96"/>
    </row>
    <row r="40" spans="1:16" x14ac:dyDescent="0.2">
      <c r="A40" s="8"/>
      <c r="B40" s="8"/>
      <c r="C40" s="8">
        <v>2016</v>
      </c>
      <c r="D40" s="8">
        <v>2017</v>
      </c>
      <c r="E40" s="8">
        <v>2018</v>
      </c>
      <c r="F40" s="8">
        <v>2019</v>
      </c>
      <c r="G40" s="8">
        <v>2020</v>
      </c>
      <c r="H40" s="8">
        <v>2021</v>
      </c>
      <c r="I40" s="8">
        <v>2022</v>
      </c>
      <c r="J40" s="8">
        <v>2023</v>
      </c>
      <c r="K40" s="8">
        <v>2024</v>
      </c>
    </row>
    <row r="41" spans="1:16" x14ac:dyDescent="0.2">
      <c r="A41" s="8" t="s">
        <v>154</v>
      </c>
      <c r="B41" s="17"/>
      <c r="C41" s="17">
        <v>-673</v>
      </c>
      <c r="D41" s="17">
        <v>-1962</v>
      </c>
      <c r="E41" s="17">
        <v>-976</v>
      </c>
      <c r="F41" s="17">
        <v>-862</v>
      </c>
      <c r="G41" s="17">
        <f>'Historical IS'!B43/1000000</f>
        <v>862</v>
      </c>
      <c r="H41" s="17">
        <f>'Historical IS'!C43/1000000</f>
        <v>5644</v>
      </c>
      <c r="I41" s="17">
        <f>'Historical IS'!D43/1000000</f>
        <v>12587</v>
      </c>
      <c r="J41" s="17">
        <f>'Historical IS'!E43/1000000</f>
        <v>14974</v>
      </c>
      <c r="K41" s="17">
        <f>'Historical IS'!F43/1000000</f>
        <v>7153</v>
      </c>
      <c r="L41" s="28"/>
      <c r="M41" s="28"/>
      <c r="N41" s="28"/>
      <c r="O41" s="28"/>
      <c r="P41" s="28"/>
    </row>
    <row r="42" spans="1:16" x14ac:dyDescent="0.2">
      <c r="A42" s="8" t="s">
        <v>160</v>
      </c>
      <c r="B42" s="17"/>
      <c r="C42" s="17">
        <v>4589</v>
      </c>
      <c r="D42" s="17">
        <v>7731</v>
      </c>
      <c r="E42" s="17">
        <v>3677</v>
      </c>
      <c r="F42" s="17">
        <v>47</v>
      </c>
      <c r="G42" s="17">
        <v>-1279</v>
      </c>
      <c r="H42" s="17">
        <v>17937</v>
      </c>
      <c r="I42" s="17">
        <v>-1981</v>
      </c>
      <c r="J42" s="17">
        <v>4347</v>
      </c>
      <c r="K42" s="17">
        <v>5879</v>
      </c>
    </row>
    <row r="43" spans="1:16" x14ac:dyDescent="0.2">
      <c r="A43" s="8" t="s">
        <v>155</v>
      </c>
      <c r="B43" s="17"/>
      <c r="C43" s="17">
        <v>5603</v>
      </c>
      <c r="D43" s="17">
        <v>12804</v>
      </c>
      <c r="E43" s="17">
        <v>13968</v>
      </c>
      <c r="F43" s="17">
        <v>14948</v>
      </c>
      <c r="G43" s="17">
        <v>9520</v>
      </c>
      <c r="H43" s="17">
        <v>17561</v>
      </c>
      <c r="I43" s="17">
        <v>15664</v>
      </c>
      <c r="J43" s="17">
        <v>17331</v>
      </c>
      <c r="K43" s="17">
        <v>11601</v>
      </c>
    </row>
    <row r="44" spans="1:16" x14ac:dyDescent="0.2">
      <c r="A44" s="8" t="s">
        <v>156</v>
      </c>
      <c r="B44" s="17"/>
      <c r="C44" s="17">
        <v>9427</v>
      </c>
      <c r="D44" s="17">
        <v>339</v>
      </c>
      <c r="E44" s="17">
        <v>7911</v>
      </c>
      <c r="F44" s="17">
        <v>6732</v>
      </c>
      <c r="G44" s="17">
        <v>6427</v>
      </c>
      <c r="H44" s="17">
        <v>10019</v>
      </c>
      <c r="I44" s="17">
        <v>9934</v>
      </c>
      <c r="J44" s="17">
        <v>10127</v>
      </c>
      <c r="K44" s="17">
        <v>6008</v>
      </c>
    </row>
    <row r="47" spans="1:16" x14ac:dyDescent="0.2">
      <c r="A47" s="90" t="s">
        <v>159</v>
      </c>
      <c r="B47" s="96"/>
      <c r="C47" s="96"/>
      <c r="D47" s="96"/>
      <c r="E47" s="96"/>
      <c r="F47" s="96"/>
      <c r="G47" s="96"/>
      <c r="H47" s="96"/>
      <c r="I47" s="96"/>
      <c r="J47" s="96"/>
      <c r="K47" s="97"/>
    </row>
    <row r="48" spans="1:16" x14ac:dyDescent="0.2">
      <c r="A48" s="8"/>
      <c r="B48" s="8"/>
      <c r="C48" s="8">
        <v>2016</v>
      </c>
      <c r="D48" s="8">
        <v>2017</v>
      </c>
      <c r="E48" s="8">
        <v>2018</v>
      </c>
      <c r="F48" s="8">
        <v>2019</v>
      </c>
      <c r="G48" s="8">
        <v>2020</v>
      </c>
      <c r="H48" s="8">
        <v>2021</v>
      </c>
      <c r="I48" s="8">
        <v>2022</v>
      </c>
      <c r="J48" s="8">
        <v>2023</v>
      </c>
      <c r="K48" s="8">
        <v>2024</v>
      </c>
    </row>
    <row r="49" spans="1:11" x14ac:dyDescent="0.2">
      <c r="A49" s="8" t="s">
        <v>154</v>
      </c>
      <c r="B49" s="20"/>
      <c r="C49" s="25">
        <f t="shared" ref="C49:K49" si="25">C41/C3</f>
        <v>-9.6141044197452286E-2</v>
      </c>
      <c r="D49" s="25">
        <f t="shared" si="25"/>
        <v>-0.16685092269750829</v>
      </c>
      <c r="E49" s="25">
        <f t="shared" si="25"/>
        <v>-4.5477843530124414E-2</v>
      </c>
      <c r="F49" s="25">
        <f t="shared" si="25"/>
        <v>-3.5072015623728539E-2</v>
      </c>
      <c r="G49" s="25">
        <f t="shared" si="25"/>
        <v>2.7333840690005072E-2</v>
      </c>
      <c r="H49" s="25">
        <f t="shared" si="25"/>
        <v>0.10486223361759843</v>
      </c>
      <c r="I49" s="25">
        <f t="shared" si="25"/>
        <v>0.15451376101740688</v>
      </c>
      <c r="J49" s="25">
        <f t="shared" si="25"/>
        <v>0.1547332417099811</v>
      </c>
      <c r="K49" s="25">
        <f t="shared" si="25"/>
        <v>7.322141467908691E-2</v>
      </c>
    </row>
    <row r="50" spans="1:11" x14ac:dyDescent="0.2">
      <c r="A50" s="8" t="s">
        <v>160</v>
      </c>
      <c r="B50" s="20"/>
      <c r="C50" s="25">
        <f t="shared" ref="C50:K50" si="26">C42/C4</f>
        <v>3.023056653491436E-2</v>
      </c>
      <c r="D50" s="25">
        <f t="shared" si="26"/>
        <v>4.9312394754299126E-2</v>
      </c>
      <c r="E50" s="25">
        <f t="shared" si="26"/>
        <v>2.2932804450598112E-2</v>
      </c>
      <c r="F50" s="25">
        <f t="shared" si="26"/>
        <v>3.0147530468248876E-4</v>
      </c>
      <c r="G50" s="25">
        <f t="shared" si="26"/>
        <v>-1.0059460139684138E-2</v>
      </c>
      <c r="H50" s="25">
        <f t="shared" si="26"/>
        <v>0.13155983893326292</v>
      </c>
      <c r="I50" s="25">
        <f t="shared" si="26"/>
        <v>-1.2533453121342301E-2</v>
      </c>
      <c r="J50" s="25">
        <f t="shared" si="26"/>
        <v>2.4672088812708937E-2</v>
      </c>
      <c r="K50" s="25">
        <f t="shared" si="26"/>
        <v>3.1779752637951908E-2</v>
      </c>
    </row>
    <row r="51" spans="1:11" x14ac:dyDescent="0.2">
      <c r="A51" s="8" t="s">
        <v>155</v>
      </c>
      <c r="B51" s="20"/>
      <c r="C51" s="25">
        <f t="shared" ref="C51:K51" si="27">C43/C5</f>
        <v>2.4247014021118226E-2</v>
      </c>
      <c r="D51" s="25">
        <f t="shared" si="27"/>
        <v>4.9627906976744185E-2</v>
      </c>
      <c r="E51" s="25">
        <f t="shared" si="27"/>
        <v>5.0183229144212117E-2</v>
      </c>
      <c r="F51" s="25">
        <f t="shared" si="27"/>
        <v>5.4210488141002391E-2</v>
      </c>
      <c r="G51" s="25">
        <f t="shared" si="27"/>
        <v>3.8760636781889991E-2</v>
      </c>
      <c r="H51" s="25">
        <f t="shared" si="27"/>
        <v>5.9325698456133238E-2</v>
      </c>
      <c r="I51" s="25">
        <f t="shared" si="27"/>
        <v>5.3242692046227058E-2</v>
      </c>
      <c r="J51" s="25">
        <f t="shared" si="27"/>
        <v>4.9686075513890086E-2</v>
      </c>
      <c r="K51" s="25">
        <f t="shared" si="27"/>
        <v>3.3022117218411091E-2</v>
      </c>
    </row>
    <row r="52" spans="1:11" x14ac:dyDescent="0.2">
      <c r="A52" s="8" t="s">
        <v>156</v>
      </c>
      <c r="B52" s="20"/>
      <c r="C52" s="25">
        <f t="shared" ref="C52:K52" si="28">C44/C6</f>
        <v>5.6659454261329484E-2</v>
      </c>
      <c r="D52" s="25">
        <f t="shared" si="28"/>
        <v>2.3284566247681847E-3</v>
      </c>
      <c r="E52" s="25">
        <f t="shared" si="28"/>
        <v>5.37980278816729E-2</v>
      </c>
      <c r="F52" s="25">
        <f t="shared" si="28"/>
        <v>4.905275429903818E-2</v>
      </c>
      <c r="G52" s="25">
        <f t="shared" si="28"/>
        <v>5.2469589354233001E-2</v>
      </c>
      <c r="H52" s="25">
        <f t="shared" si="28"/>
        <v>7.8887279140814462E-2</v>
      </c>
      <c r="I52" s="25">
        <f t="shared" si="28"/>
        <v>6.338086579257983E-2</v>
      </c>
      <c r="J52" s="25">
        <f t="shared" si="28"/>
        <v>5.893204222483444E-2</v>
      </c>
      <c r="K52" s="25">
        <f t="shared" si="28"/>
        <v>3.2052581598574492E-2</v>
      </c>
    </row>
    <row r="53" spans="1:11" x14ac:dyDescent="0.2">
      <c r="C53" s="6"/>
      <c r="D53" s="6"/>
      <c r="E53" s="6"/>
      <c r="F53" s="6"/>
      <c r="G53" s="6"/>
      <c r="H53" s="6"/>
      <c r="I53" s="6"/>
      <c r="J53" s="6"/>
      <c r="K53" s="6"/>
    </row>
  </sheetData>
  <mergeCells count="9">
    <mergeCell ref="A31:K31"/>
    <mergeCell ref="A39:K39"/>
    <mergeCell ref="A47:K47"/>
    <mergeCell ref="A1:K1"/>
    <mergeCell ref="L1:P1"/>
    <mergeCell ref="A9:K9"/>
    <mergeCell ref="L9:P9"/>
    <mergeCell ref="A17:K17"/>
    <mergeCell ref="A23:K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B219-2F91-3143-9830-D1EC9944A79C}">
  <dimension ref="A1:H19"/>
  <sheetViews>
    <sheetView zoomScale="113" workbookViewId="0">
      <selection activeCell="I6" sqref="I6"/>
    </sheetView>
  </sheetViews>
  <sheetFormatPr baseColWidth="10" defaultRowHeight="15" x14ac:dyDescent="0.2"/>
  <cols>
    <col min="1" max="1" width="20.5" customWidth="1"/>
    <col min="2" max="2" width="19.33203125" customWidth="1"/>
    <col min="3" max="3" width="14.1640625" bestFit="1" customWidth="1"/>
  </cols>
  <sheetData>
    <row r="1" spans="1:8" x14ac:dyDescent="0.2">
      <c r="A1" s="20" t="s">
        <v>201</v>
      </c>
      <c r="B1" s="20"/>
      <c r="C1" s="35" t="s">
        <v>166</v>
      </c>
      <c r="D1" s="35" t="s">
        <v>167</v>
      </c>
      <c r="E1" s="35" t="s">
        <v>168</v>
      </c>
      <c r="F1" s="35" t="s">
        <v>169</v>
      </c>
      <c r="G1" s="35" t="s">
        <v>171</v>
      </c>
    </row>
    <row r="2" spans="1:8" x14ac:dyDescent="0.2">
      <c r="A2" s="20" t="s">
        <v>298</v>
      </c>
      <c r="B2" s="20"/>
      <c r="C2" s="17">
        <f>'Plan - Sales'!L3</f>
        <v>98615.689293501273</v>
      </c>
      <c r="D2" s="17">
        <f>'Plan - Sales'!M3</f>
        <v>96150.297061163743</v>
      </c>
      <c r="E2" s="17">
        <f>'Plan - Sales'!N3</f>
        <v>100957.81191422194</v>
      </c>
      <c r="F2" s="17">
        <f>'Plan - Sales'!O3</f>
        <v>109034.43686735971</v>
      </c>
      <c r="G2" s="17">
        <f>'Plan - Sales'!P3</f>
        <v>115576.5030794013</v>
      </c>
    </row>
    <row r="4" spans="1:8" x14ac:dyDescent="0.2">
      <c r="A4" s="20"/>
      <c r="B4" s="9" t="s">
        <v>299</v>
      </c>
      <c r="C4" s="20"/>
      <c r="D4" s="20"/>
      <c r="E4" s="20"/>
      <c r="F4" s="20"/>
      <c r="G4" s="20"/>
    </row>
    <row r="5" spans="1:8" x14ac:dyDescent="0.2">
      <c r="A5" s="20" t="s">
        <v>300</v>
      </c>
      <c r="B5" s="10">
        <f>AVERAGE('FA Measures'!B16:F16)</f>
        <v>15.553330328581112</v>
      </c>
      <c r="C5" s="17">
        <f>$B$5*C2/365</f>
        <v>4202.1983319521778</v>
      </c>
      <c r="D5" s="17">
        <f t="shared" ref="D5:G5" si="0">$B$5*D2/365</f>
        <v>4097.1433736533736</v>
      </c>
      <c r="E5" s="17">
        <f t="shared" si="0"/>
        <v>4302.0005423360426</v>
      </c>
      <c r="F5" s="17">
        <f t="shared" si="0"/>
        <v>4646.160585722927</v>
      </c>
      <c r="G5" s="17">
        <f t="shared" si="0"/>
        <v>4924.930220866303</v>
      </c>
    </row>
    <row r="6" spans="1:8" x14ac:dyDescent="0.2">
      <c r="A6" s="20" t="s">
        <v>301</v>
      </c>
      <c r="B6" s="10">
        <f>AVERAGE('FA Measures'!B17:F17)</f>
        <v>61.481450076008322</v>
      </c>
      <c r="C6" s="17">
        <f>$B$6*C2/365</f>
        <v>16611.056378108347</v>
      </c>
      <c r="D6" s="17">
        <f t="shared" ref="D6:G6" si="1">$B$6*D2/365</f>
        <v>16195.779968655641</v>
      </c>
      <c r="E6" s="17">
        <f t="shared" si="1"/>
        <v>17005.56896708842</v>
      </c>
      <c r="F6" s="17">
        <f t="shared" si="1"/>
        <v>18366.014484455496</v>
      </c>
      <c r="G6" s="17">
        <f t="shared" si="1"/>
        <v>19467.97535352283</v>
      </c>
    </row>
    <row r="7" spans="1:8" x14ac:dyDescent="0.2">
      <c r="A7" s="20" t="s">
        <v>6</v>
      </c>
      <c r="B7" s="10">
        <f>AVERAGE('FA Measures'!B18:F18)</f>
        <v>48.065105039918073</v>
      </c>
      <c r="C7" s="17">
        <f>$B$7*C2/365</f>
        <v>12986.228669797432</v>
      </c>
      <c r="D7" s="17">
        <f t="shared" ref="D7:G7" si="2">$B$7*D2/365</f>
        <v>12661.572953052497</v>
      </c>
      <c r="E7" s="17">
        <f t="shared" si="2"/>
        <v>13294.651600705123</v>
      </c>
      <c r="F7" s="17">
        <f t="shared" si="2"/>
        <v>14358.223728761533</v>
      </c>
      <c r="G7" s="17">
        <f t="shared" si="2"/>
        <v>15219.717152487228</v>
      </c>
    </row>
    <row r="9" spans="1:8" x14ac:dyDescent="0.2">
      <c r="A9" s="20"/>
      <c r="B9" s="9" t="s">
        <v>302</v>
      </c>
      <c r="C9" s="20"/>
      <c r="D9" s="20"/>
      <c r="E9" s="20"/>
      <c r="F9" s="20"/>
      <c r="G9" s="20"/>
    </row>
    <row r="10" spans="1:8" x14ac:dyDescent="0.2">
      <c r="A10" s="20" t="s">
        <v>303</v>
      </c>
      <c r="B10" s="10">
        <f>AVERAGE('FA Measures'!B24:F24)</f>
        <v>1.0740708291465322</v>
      </c>
      <c r="C10" s="17">
        <f>$B$10*C6</f>
        <v>17841.451097034624</v>
      </c>
      <c r="D10" s="17">
        <f t="shared" ref="D10:G10" si="3">$B$10*D6</f>
        <v>17395.414819608763</v>
      </c>
      <c r="E10" s="17">
        <f t="shared" si="3"/>
        <v>18265.185560589198</v>
      </c>
      <c r="F10" s="17">
        <f t="shared" si="3"/>
        <v>19726.400405436336</v>
      </c>
      <c r="G10" s="17">
        <f t="shared" si="3"/>
        <v>20909.98442976252</v>
      </c>
    </row>
    <row r="12" spans="1:8" x14ac:dyDescent="0.2">
      <c r="A12" s="20" t="s">
        <v>304</v>
      </c>
      <c r="B12" s="20"/>
      <c r="C12" s="8">
        <v>2020</v>
      </c>
      <c r="D12" s="8">
        <v>2021</v>
      </c>
      <c r="E12" s="8">
        <v>2022</v>
      </c>
      <c r="F12" s="8">
        <v>2023</v>
      </c>
      <c r="G12" s="8">
        <v>2024</v>
      </c>
    </row>
    <row r="13" spans="1:8" x14ac:dyDescent="0.2">
      <c r="A13" s="20" t="s">
        <v>305</v>
      </c>
      <c r="B13" s="20"/>
      <c r="C13" s="17">
        <f>'Historical BS'!B20/1000000</f>
        <v>52148</v>
      </c>
      <c r="D13" s="17">
        <f>'Historical BS'!C20/1000000</f>
        <v>62131</v>
      </c>
      <c r="E13" s="17">
        <f>'Historical BS'!D20/1000000</f>
        <v>82338</v>
      </c>
      <c r="F13" s="17">
        <f>'Historical BS'!E20/1000000</f>
        <v>106618</v>
      </c>
      <c r="G13" s="17">
        <f>'Historical BS'!F20/1000000</f>
        <v>122070</v>
      </c>
    </row>
    <row r="14" spans="1:8" x14ac:dyDescent="0.2">
      <c r="A14" s="20" t="s">
        <v>8</v>
      </c>
      <c r="B14" s="20"/>
      <c r="C14" s="17">
        <f>'Historical BS'!B10/1000000</f>
        <v>26717</v>
      </c>
      <c r="D14" s="17">
        <f>'Historical BS'!C10/1000000</f>
        <v>27100</v>
      </c>
      <c r="E14" s="17">
        <f>'Historical BS'!D10/1000000</f>
        <v>40917</v>
      </c>
      <c r="F14" s="17">
        <f>'Historical BS'!E10/1000000</f>
        <v>49616</v>
      </c>
      <c r="G14" s="17">
        <f>'Historical BS'!F10/1000000</f>
        <v>58360</v>
      </c>
    </row>
    <row r="15" spans="1:8" x14ac:dyDescent="0.2">
      <c r="A15" s="20" t="s">
        <v>303</v>
      </c>
      <c r="B15" s="20"/>
      <c r="C15" s="17">
        <f>'Historical BS'!B4/1000000</f>
        <v>19384</v>
      </c>
      <c r="D15" s="17">
        <f>'Historical BS'!C4/1000000</f>
        <v>17576</v>
      </c>
      <c r="E15" s="17">
        <f>'Historical BS'!D4/1000000</f>
        <v>16253</v>
      </c>
      <c r="F15" s="17">
        <f>'Historical BS'!E4/1000000</f>
        <v>16398</v>
      </c>
      <c r="G15" s="17">
        <f>'Historical BS'!F4/1000000</f>
        <v>16139</v>
      </c>
    </row>
    <row r="16" spans="1:8" ht="32" x14ac:dyDescent="0.2">
      <c r="A16" s="74" t="s">
        <v>306</v>
      </c>
      <c r="B16" s="20"/>
      <c r="C16" s="25">
        <f>C15/'Historical IS'!B3*1000000</f>
        <v>0.61466260781329274</v>
      </c>
      <c r="D16" s="25">
        <f>D15/'Historical IS'!C3*1000000</f>
        <v>0.32655184586515063</v>
      </c>
      <c r="E16" s="25">
        <f>E15/'Historical IS'!D3*1000000</f>
        <v>0.19951633890648399</v>
      </c>
      <c r="F16" s="25">
        <f>F15/'Historical IS'!E3*1000000</f>
        <v>0.16944808985977494</v>
      </c>
      <c r="G16" s="25">
        <f>G15/'Historical IS'!F3*1000000</f>
        <v>0.16520626471491454</v>
      </c>
      <c r="H16" t="s">
        <v>342</v>
      </c>
    </row>
    <row r="18" spans="1:8" x14ac:dyDescent="0.2">
      <c r="A18" s="20"/>
      <c r="B18" s="20"/>
      <c r="C18" s="35" t="s">
        <v>166</v>
      </c>
      <c r="D18" s="35" t="s">
        <v>167</v>
      </c>
      <c r="E18" s="35" t="s">
        <v>168</v>
      </c>
      <c r="F18" s="35" t="s">
        <v>169</v>
      </c>
      <c r="G18" s="35" t="s">
        <v>171</v>
      </c>
    </row>
    <row r="19" spans="1:8" x14ac:dyDescent="0.2">
      <c r="A19" s="20" t="s">
        <v>303</v>
      </c>
      <c r="B19" s="20"/>
      <c r="C19" s="17">
        <f>$G$16*C2</f>
        <v>16291.929670465934</v>
      </c>
      <c r="D19" s="17">
        <f t="shared" ref="D19:G19" si="4">$G$16*D2</f>
        <v>15884.631428704286</v>
      </c>
      <c r="E19" s="17">
        <f t="shared" si="4"/>
        <v>16678.863000139503</v>
      </c>
      <c r="F19" s="17">
        <f t="shared" si="4"/>
        <v>18013.172040150665</v>
      </c>
      <c r="G19" s="17">
        <f t="shared" si="4"/>
        <v>19093.962362559705</v>
      </c>
      <c r="H19" t="s">
        <v>341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6F5D-0D3C-BD47-81E4-3F650BD68630}">
  <dimension ref="A2:I26"/>
  <sheetViews>
    <sheetView workbookViewId="0">
      <selection activeCell="H29" sqref="H29"/>
    </sheetView>
  </sheetViews>
  <sheetFormatPr baseColWidth="10" defaultRowHeight="15" x14ac:dyDescent="0.2"/>
  <cols>
    <col min="1" max="1" width="39" customWidth="1"/>
    <col min="2" max="2" width="14.1640625" bestFit="1" customWidth="1"/>
    <col min="9" max="9" width="10.83203125" customWidth="1"/>
  </cols>
  <sheetData>
    <row r="2" spans="1:9" x14ac:dyDescent="0.2">
      <c r="A2" s="19" t="s">
        <v>273</v>
      </c>
      <c r="B2" s="36"/>
      <c r="C2" s="36"/>
      <c r="D2" s="36"/>
      <c r="E2" s="36"/>
      <c r="F2" s="36"/>
      <c r="G2" s="36"/>
    </row>
    <row r="3" spans="1:9" x14ac:dyDescent="0.2">
      <c r="A3" s="36" t="s">
        <v>201</v>
      </c>
      <c r="B3" s="8">
        <v>2020</v>
      </c>
      <c r="C3" s="8">
        <v>2021</v>
      </c>
      <c r="D3" s="8">
        <v>2022</v>
      </c>
      <c r="E3" s="8">
        <v>2023</v>
      </c>
      <c r="F3" s="8">
        <v>2024</v>
      </c>
      <c r="G3" s="35" t="s">
        <v>274</v>
      </c>
    </row>
    <row r="4" spans="1:9" x14ac:dyDescent="0.2">
      <c r="A4" s="68" t="s">
        <v>275</v>
      </c>
      <c r="B4" s="25">
        <f>'CS Vertical IS'!B6</f>
        <v>0.7897640791476408</v>
      </c>
      <c r="C4" s="25">
        <f>'CS Vertical IS'!C6</f>
        <v>0.74720844248741247</v>
      </c>
      <c r="D4" s="25">
        <f>'CS Vertical IS'!D6</f>
        <v>0.74401561464240995</v>
      </c>
      <c r="E4" s="25">
        <f>'CS Vertical IS'!E6</f>
        <v>0.81751108263668582</v>
      </c>
      <c r="F4" s="25">
        <f>'CS Vertical IS'!F6</f>
        <v>0.82137373323779306</v>
      </c>
      <c r="G4" s="25">
        <f>'CS Vertical IS'!G6</f>
        <v>0.78397459043038853</v>
      </c>
    </row>
    <row r="5" spans="1:9" x14ac:dyDescent="0.2">
      <c r="A5" s="68" t="s">
        <v>276</v>
      </c>
      <c r="B5" s="25">
        <f>'CS Vertical IS'!B12</f>
        <v>9.9727295788939629E-2</v>
      </c>
      <c r="C5" s="25">
        <f>'CS Vertical IS'!C12</f>
        <v>8.3923229845976624E-2</v>
      </c>
      <c r="D5" s="25">
        <f>'CS Vertical IS'!D12</f>
        <v>4.8439763325231394E-2</v>
      </c>
      <c r="E5" s="25">
        <f>'CS Vertical IS'!E12</f>
        <v>4.9600611740878139E-2</v>
      </c>
      <c r="F5" s="25">
        <f>'CS Vertical IS'!F12</f>
        <v>5.2717780734977994E-2</v>
      </c>
      <c r="G5" s="25">
        <f>'CS Vertical IS'!G12</f>
        <v>6.688173628720076E-2</v>
      </c>
    </row>
    <row r="6" spans="1:9" x14ac:dyDescent="0.2">
      <c r="A6" s="36" t="s">
        <v>277</v>
      </c>
      <c r="B6" s="25">
        <f>'CS Vertical IS'!B13</f>
        <v>0</v>
      </c>
      <c r="C6" s="25">
        <f>'CS Vertical IS'!C13</f>
        <v>-5.0164427846831284E-4</v>
      </c>
      <c r="D6" s="25">
        <f>'CS Vertical IS'!D13</f>
        <v>2.160516559868405E-3</v>
      </c>
      <c r="E6" s="25">
        <f>'CS Vertical IS'!E13</f>
        <v>0</v>
      </c>
      <c r="F6" s="25">
        <f>'CS Vertical IS'!F13</f>
        <v>7.0017401985873681E-3</v>
      </c>
      <c r="G6" s="25">
        <f>'CS Vertical IS'!G13</f>
        <v>1.7321224959974922E-3</v>
      </c>
      <c r="I6" s="72" t="s">
        <v>291</v>
      </c>
    </row>
    <row r="7" spans="1:9" x14ac:dyDescent="0.2">
      <c r="A7" s="69" t="s">
        <v>278</v>
      </c>
      <c r="B7" s="25">
        <f>'CS Vertical IS'!B14</f>
        <v>0.14700659563673263</v>
      </c>
      <c r="C7" s="25">
        <f>'CS Vertical IS'!C14</f>
        <v>0.13209965999665571</v>
      </c>
      <c r="D7" s="25">
        <f>'CS Vertical IS'!D14</f>
        <v>8.8347941371436992E-2</v>
      </c>
      <c r="E7" s="25">
        <f>'CS Vertical IS'!E14</f>
        <v>9.0614117574116748E-2</v>
      </c>
      <c r="F7" s="25">
        <f>'CS Vertical IS'!F14</f>
        <v>0.10619305967857509</v>
      </c>
      <c r="G7" s="25">
        <f>'CS Vertical IS'!G14</f>
        <v>0.11285227485150343</v>
      </c>
      <c r="I7" s="6">
        <v>4.53E-2</v>
      </c>
    </row>
    <row r="9" spans="1:9" x14ac:dyDescent="0.2">
      <c r="A9" s="36" t="s">
        <v>289</v>
      </c>
      <c r="B9" s="17">
        <f>'Historical BS'!B51/1000000</f>
        <v>16287</v>
      </c>
      <c r="C9" s="17">
        <f>'Historical BS'!C51/1000000</f>
        <v>12404</v>
      </c>
      <c r="D9" s="17">
        <f>'Historical BS'!D51/1000000</f>
        <v>9451</v>
      </c>
      <c r="E9" s="17">
        <f>'Historical BS'!E51/1000000</f>
        <v>14489</v>
      </c>
      <c r="F9" s="17">
        <f>'Historical BS'!F51/1000000</f>
        <v>19368</v>
      </c>
      <c r="G9" s="20"/>
    </row>
    <row r="10" spans="1:9" x14ac:dyDescent="0.2">
      <c r="A10" s="36" t="s">
        <v>284</v>
      </c>
      <c r="B10" s="17">
        <f>'Historical IS'!B22/1000000</f>
        <v>748</v>
      </c>
      <c r="C10" s="17">
        <f>'Historical IS'!C22/1000000</f>
        <v>371</v>
      </c>
      <c r="D10" s="17">
        <f>'Historical IS'!D22/1000000</f>
        <v>191</v>
      </c>
      <c r="E10" s="17">
        <f>'Historical IS'!E22/1000000</f>
        <v>156</v>
      </c>
      <c r="F10" s="17">
        <f>'Historical IS'!F22/1000000</f>
        <v>350</v>
      </c>
      <c r="G10" s="20"/>
    </row>
    <row r="11" spans="1:9" x14ac:dyDescent="0.2">
      <c r="A11" s="36" t="s">
        <v>290</v>
      </c>
      <c r="B11" s="25">
        <f>B10/B9</f>
        <v>4.5926198808865969E-2</v>
      </c>
      <c r="C11" s="25">
        <f t="shared" ref="C11:F11" si="0">C10/C9</f>
        <v>2.9909706546275394E-2</v>
      </c>
      <c r="D11" s="25">
        <f t="shared" si="0"/>
        <v>2.020950164003809E-2</v>
      </c>
      <c r="E11" s="25">
        <f t="shared" si="0"/>
        <v>1.0766788598246946E-2</v>
      </c>
      <c r="F11" s="25">
        <f t="shared" si="0"/>
        <v>1.8071045022717884E-2</v>
      </c>
      <c r="G11" s="25">
        <f>AVERAGE(B11:F11)</f>
        <v>2.4976648123228862E-2</v>
      </c>
    </row>
    <row r="13" spans="1:9" x14ac:dyDescent="0.2">
      <c r="A13" s="19" t="s">
        <v>279</v>
      </c>
      <c r="B13" s="36"/>
      <c r="C13" s="36"/>
      <c r="D13" s="36"/>
      <c r="E13" s="36"/>
      <c r="F13" s="36"/>
    </row>
    <row r="14" spans="1:9" x14ac:dyDescent="0.2">
      <c r="A14" s="36"/>
      <c r="B14" s="37" t="s">
        <v>166</v>
      </c>
      <c r="C14" s="37" t="s">
        <v>167</v>
      </c>
      <c r="D14" s="37" t="s">
        <v>168</v>
      </c>
      <c r="E14" s="37" t="s">
        <v>169</v>
      </c>
      <c r="F14" s="37" t="s">
        <v>171</v>
      </c>
    </row>
    <row r="15" spans="1:9" x14ac:dyDescent="0.2">
      <c r="A15" s="68" t="s">
        <v>280</v>
      </c>
      <c r="B15" s="17">
        <f>'Plan - Sales'!L3</f>
        <v>98615.689293501273</v>
      </c>
      <c r="C15" s="17">
        <f>'Plan - Sales'!M3</f>
        <v>96150.297061163743</v>
      </c>
      <c r="D15" s="17">
        <f>'Plan - Sales'!N3</f>
        <v>100957.81191422194</v>
      </c>
      <c r="E15" s="17">
        <f>'Plan - Sales'!O3</f>
        <v>109034.43686735971</v>
      </c>
      <c r="F15" s="17">
        <f>'Plan - Sales'!P3</f>
        <v>115576.5030794013</v>
      </c>
    </row>
    <row r="16" spans="1:9" x14ac:dyDescent="0.2">
      <c r="A16" s="68" t="s">
        <v>275</v>
      </c>
      <c r="B16" s="17">
        <f>$G$4*B15</f>
        <v>77312.194623883115</v>
      </c>
      <c r="C16" s="17">
        <f t="shared" ref="C16:F16" si="1">$G$4*C15</f>
        <v>75379.389758286037</v>
      </c>
      <c r="D16" s="17">
        <f t="shared" si="1"/>
        <v>79148.359246200343</v>
      </c>
      <c r="E16" s="17">
        <f t="shared" si="1"/>
        <v>85480.227985896374</v>
      </c>
      <c r="F16" s="17">
        <f t="shared" si="1"/>
        <v>90609.041665050172</v>
      </c>
    </row>
    <row r="17" spans="1:6" x14ac:dyDescent="0.2">
      <c r="A17" s="68" t="s">
        <v>281</v>
      </c>
      <c r="B17" s="17">
        <f>$G$5*B15</f>
        <v>6595.5885251084792</v>
      </c>
      <c r="C17" s="17">
        <f t="shared" ref="C17:F17" si="2">$G$5*C15</f>
        <v>6430.6988119807675</v>
      </c>
      <c r="D17" s="17">
        <f t="shared" si="2"/>
        <v>6752.2337525798066</v>
      </c>
      <c r="E17" s="17">
        <f t="shared" si="2"/>
        <v>7292.4124527861923</v>
      </c>
      <c r="F17" s="17">
        <f t="shared" si="2"/>
        <v>7729.9571999533646</v>
      </c>
    </row>
    <row r="18" spans="1:6" x14ac:dyDescent="0.2">
      <c r="A18" s="68" t="s">
        <v>282</v>
      </c>
      <c r="B18" s="17">
        <f>$G$6*B15</f>
        <v>170.81445388357258</v>
      </c>
      <c r="C18" s="17">
        <f t="shared" ref="C18:F18" si="3">$G$6*C15</f>
        <v>166.54409253648328</v>
      </c>
      <c r="D18" s="17">
        <f t="shared" si="3"/>
        <v>174.87129716330745</v>
      </c>
      <c r="E18" s="17">
        <f t="shared" si="3"/>
        <v>188.86100093637208</v>
      </c>
      <c r="F18" s="17">
        <f t="shared" si="3"/>
        <v>200.19266099255444</v>
      </c>
    </row>
    <row r="19" spans="1:6" x14ac:dyDescent="0.2">
      <c r="A19" s="69" t="s">
        <v>278</v>
      </c>
      <c r="B19" s="17">
        <f>SUM(B16:B18)</f>
        <v>84078.597602875176</v>
      </c>
      <c r="C19" s="17">
        <f t="shared" ref="C19:F19" si="4">SUM(C16:C18)</f>
        <v>81976.632662803284</v>
      </c>
      <c r="D19" s="17">
        <f t="shared" si="4"/>
        <v>86075.464295943457</v>
      </c>
      <c r="E19" s="17">
        <f t="shared" si="4"/>
        <v>92961.501439618936</v>
      </c>
      <c r="F19" s="17">
        <f t="shared" si="4"/>
        <v>98539.191525996095</v>
      </c>
    </row>
    <row r="20" spans="1:6" x14ac:dyDescent="0.2">
      <c r="A20" s="69" t="s">
        <v>283</v>
      </c>
      <c r="B20" s="17">
        <f>B15-B19</f>
        <v>14537.091690626097</v>
      </c>
      <c r="C20" s="17">
        <f t="shared" ref="C20:F20" si="5">C15-C19</f>
        <v>14173.664398360459</v>
      </c>
      <c r="D20" s="17">
        <f t="shared" si="5"/>
        <v>14882.34761827848</v>
      </c>
      <c r="E20" s="17">
        <f t="shared" si="5"/>
        <v>16072.935427740769</v>
      </c>
      <c r="F20" s="17">
        <f t="shared" si="5"/>
        <v>17037.311553405205</v>
      </c>
    </row>
    <row r="21" spans="1:6" x14ac:dyDescent="0.2">
      <c r="A21" s="70" t="s">
        <v>288</v>
      </c>
      <c r="B21" s="25">
        <f>B20/B15</f>
        <v>0.1474115507864131</v>
      </c>
      <c r="C21" s="25">
        <f t="shared" ref="C21:F21" si="6">C20/C15</f>
        <v>0.14741155078641324</v>
      </c>
      <c r="D21" s="25">
        <f t="shared" si="6"/>
        <v>0.14741155078641321</v>
      </c>
      <c r="E21" s="25">
        <f t="shared" si="6"/>
        <v>0.1474115507864133</v>
      </c>
      <c r="F21" s="25">
        <f t="shared" si="6"/>
        <v>0.14741155078641319</v>
      </c>
    </row>
    <row r="22" spans="1:6" x14ac:dyDescent="0.2">
      <c r="A22" s="68" t="s">
        <v>284</v>
      </c>
      <c r="B22" s="20">
        <f>F11*F9</f>
        <v>350</v>
      </c>
      <c r="C22" s="20">
        <f>B22</f>
        <v>350</v>
      </c>
      <c r="D22" s="20">
        <f t="shared" ref="D22:F22" si="7">C22</f>
        <v>350</v>
      </c>
      <c r="E22" s="20">
        <f t="shared" si="7"/>
        <v>350</v>
      </c>
      <c r="F22" s="20">
        <f t="shared" si="7"/>
        <v>350</v>
      </c>
    </row>
    <row r="23" spans="1:6" x14ac:dyDescent="0.2">
      <c r="A23" s="69" t="s">
        <v>285</v>
      </c>
      <c r="B23" s="17">
        <f>B20-B22</f>
        <v>14187.091690626097</v>
      </c>
      <c r="C23" s="17">
        <f t="shared" ref="C23:F23" si="8">C20-C22</f>
        <v>13823.664398360459</v>
      </c>
      <c r="D23" s="17">
        <f t="shared" si="8"/>
        <v>14532.34761827848</v>
      </c>
      <c r="E23" s="17">
        <f t="shared" si="8"/>
        <v>15722.935427740769</v>
      </c>
      <c r="F23" s="17">
        <f t="shared" si="8"/>
        <v>16687.311553405205</v>
      </c>
    </row>
    <row r="24" spans="1:6" x14ac:dyDescent="0.2">
      <c r="A24" s="70" t="s">
        <v>286</v>
      </c>
      <c r="B24" s="17">
        <f>B23*$I$7</f>
        <v>642.67525358536216</v>
      </c>
      <c r="C24" s="17">
        <f t="shared" ref="C24:F24" si="9">C23*$I$7</f>
        <v>626.21199724572875</v>
      </c>
      <c r="D24" s="17">
        <f t="shared" si="9"/>
        <v>658.31534710801509</v>
      </c>
      <c r="E24" s="17">
        <f t="shared" si="9"/>
        <v>712.2489748766568</v>
      </c>
      <c r="F24" s="17">
        <f t="shared" si="9"/>
        <v>755.93521336925573</v>
      </c>
    </row>
    <row r="25" spans="1:6" x14ac:dyDescent="0.2">
      <c r="A25" s="69" t="s">
        <v>68</v>
      </c>
      <c r="B25" s="17">
        <f>B23-B24</f>
        <v>13544.416437040734</v>
      </c>
      <c r="C25" s="17">
        <f t="shared" ref="C25:F25" si="10">C23-C24</f>
        <v>13197.45240111473</v>
      </c>
      <c r="D25" s="17">
        <f t="shared" si="10"/>
        <v>13874.032271170465</v>
      </c>
      <c r="E25" s="17">
        <f t="shared" si="10"/>
        <v>15010.686452864113</v>
      </c>
      <c r="F25" s="17">
        <f t="shared" si="10"/>
        <v>15931.376340035949</v>
      </c>
    </row>
    <row r="26" spans="1:6" x14ac:dyDescent="0.2">
      <c r="A26" s="70" t="s">
        <v>287</v>
      </c>
      <c r="B26" s="25">
        <f>B25/B15</f>
        <v>0.13734545216968133</v>
      </c>
      <c r="C26" s="25">
        <f t="shared" ref="C26:F26" si="11">C25/C15</f>
        <v>0.1372585712628582</v>
      </c>
      <c r="D26" s="25">
        <f t="shared" si="11"/>
        <v>0.13742405870442631</v>
      </c>
      <c r="E26" s="25">
        <f t="shared" si="11"/>
        <v>0.1376692252845273</v>
      </c>
      <c r="F26" s="25">
        <f t="shared" si="11"/>
        <v>0.13784269220440992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44B19-9EDE-7641-8359-0B35F95415F4}">
  <dimension ref="A1:K48"/>
  <sheetViews>
    <sheetView topLeftCell="A14" zoomScale="106" workbookViewId="0">
      <selection activeCell="G49" sqref="G49"/>
    </sheetView>
  </sheetViews>
  <sheetFormatPr baseColWidth="10" defaultRowHeight="15" x14ac:dyDescent="0.2"/>
  <cols>
    <col min="1" max="1" width="42.1640625" customWidth="1"/>
    <col min="2" max="2" width="10.83203125" customWidth="1"/>
  </cols>
  <sheetData>
    <row r="1" spans="1:11" x14ac:dyDescent="0.2">
      <c r="A1" s="4" t="s">
        <v>307</v>
      </c>
    </row>
    <row r="2" spans="1:11" x14ac:dyDescent="0.2">
      <c r="A2" t="s">
        <v>308</v>
      </c>
    </row>
    <row r="4" spans="1:11" x14ac:dyDescent="0.2">
      <c r="A4" t="s">
        <v>328</v>
      </c>
    </row>
    <row r="5" spans="1:11" x14ac:dyDescent="0.2">
      <c r="A5" s="8" t="s">
        <v>309</v>
      </c>
      <c r="B5" s="8">
        <v>2020</v>
      </c>
      <c r="C5" s="8">
        <v>2021</v>
      </c>
      <c r="D5" s="8">
        <v>2022</v>
      </c>
      <c r="E5" s="8">
        <v>2023</v>
      </c>
      <c r="F5" s="8">
        <v>2024</v>
      </c>
    </row>
    <row r="6" spans="1:11" x14ac:dyDescent="0.2">
      <c r="A6" s="20" t="s">
        <v>310</v>
      </c>
      <c r="B6" s="17">
        <f>'Historical BS'!B45/1000000</f>
        <v>23679</v>
      </c>
      <c r="C6" s="17">
        <f>'Historical BS'!C45/1000000</f>
        <v>31583</v>
      </c>
      <c r="D6" s="17">
        <f>'Historical BS'!D45/1000000</f>
        <v>45898</v>
      </c>
      <c r="E6" s="17">
        <f>'Historical BS'!E45/1000000</f>
        <v>63609</v>
      </c>
      <c r="F6" s="17">
        <f>'Historical BS'!F45/1000000</f>
        <v>73680</v>
      </c>
      <c r="K6" t="s">
        <v>86</v>
      </c>
    </row>
    <row r="7" spans="1:11" x14ac:dyDescent="0.2">
      <c r="A7" s="20" t="s">
        <v>96</v>
      </c>
      <c r="B7" s="17">
        <f>'Historical BS'!B51/1000000</f>
        <v>16287</v>
      </c>
      <c r="C7" s="17">
        <f>'Historical BS'!C51/1000000</f>
        <v>12404</v>
      </c>
      <c r="D7" s="17">
        <f>'Historical BS'!D51/1000000</f>
        <v>9451</v>
      </c>
      <c r="E7" s="17">
        <f>'Historical BS'!E51/1000000</f>
        <v>14489</v>
      </c>
      <c r="F7" s="17">
        <f>'Historical BS'!F51/1000000</f>
        <v>19368</v>
      </c>
      <c r="K7" t="s">
        <v>87</v>
      </c>
    </row>
    <row r="8" spans="1:11" x14ac:dyDescent="0.2">
      <c r="A8" s="20" t="s">
        <v>311</v>
      </c>
      <c r="B8" s="10">
        <f>B7/B6</f>
        <v>0.68782465475737997</v>
      </c>
      <c r="C8" s="10">
        <f t="shared" ref="C8:F8" si="0">C7/C6</f>
        <v>0.39274293132381344</v>
      </c>
      <c r="D8" s="10">
        <f t="shared" si="0"/>
        <v>0.20591311168242624</v>
      </c>
      <c r="E8" s="10">
        <f t="shared" si="0"/>
        <v>0.22778223207407758</v>
      </c>
      <c r="F8" s="10">
        <f t="shared" si="0"/>
        <v>0.26286644951140065</v>
      </c>
      <c r="K8" t="s">
        <v>354</v>
      </c>
    </row>
    <row r="9" spans="1:11" x14ac:dyDescent="0.2">
      <c r="A9" s="20"/>
      <c r="B9" s="20"/>
      <c r="C9" s="20"/>
      <c r="D9" s="20"/>
      <c r="E9" s="20"/>
      <c r="F9" s="20"/>
    </row>
    <row r="10" spans="1:11" x14ac:dyDescent="0.2">
      <c r="A10" s="20" t="s">
        <v>312</v>
      </c>
      <c r="B10" s="10">
        <f>B7/(B6+B7)</f>
        <v>0.40752139318420655</v>
      </c>
      <c r="C10" s="10">
        <f t="shared" ref="C10:F10" si="1">C7/(C6+C7)</f>
        <v>0.28199240684747767</v>
      </c>
      <c r="D10" s="10">
        <f t="shared" si="1"/>
        <v>0.17075285913024627</v>
      </c>
      <c r="E10" s="10">
        <f t="shared" si="1"/>
        <v>0.18552331685830623</v>
      </c>
      <c r="F10" s="10">
        <f t="shared" si="1"/>
        <v>0.20815063193190611</v>
      </c>
    </row>
    <row r="11" spans="1:11" x14ac:dyDescent="0.2">
      <c r="A11" s="20" t="s">
        <v>313</v>
      </c>
      <c r="B11" s="10">
        <f>B6/(B6+B7)</f>
        <v>0.59247860681579345</v>
      </c>
      <c r="C11" s="10">
        <f t="shared" ref="C11:F11" si="2">C6/(C6+C7)</f>
        <v>0.71800759315252238</v>
      </c>
      <c r="D11" s="10">
        <f t="shared" si="2"/>
        <v>0.82924714086975371</v>
      </c>
      <c r="E11" s="10">
        <f t="shared" si="2"/>
        <v>0.81447668314169375</v>
      </c>
      <c r="F11" s="10">
        <f t="shared" si="2"/>
        <v>0.79184936806809392</v>
      </c>
    </row>
    <row r="12" spans="1:11" x14ac:dyDescent="0.2">
      <c r="A12" s="20"/>
      <c r="B12" s="20"/>
      <c r="C12" s="20"/>
      <c r="D12" s="20"/>
      <c r="E12" s="20"/>
      <c r="F12" s="20"/>
    </row>
    <row r="13" spans="1:11" x14ac:dyDescent="0.2">
      <c r="A13" s="8" t="s">
        <v>314</v>
      </c>
      <c r="B13" s="20"/>
      <c r="C13" s="20"/>
      <c r="D13" s="20"/>
      <c r="E13" s="20"/>
      <c r="F13" s="20"/>
    </row>
    <row r="14" spans="1:11" x14ac:dyDescent="0.2">
      <c r="A14" s="20" t="s">
        <v>315</v>
      </c>
      <c r="B14" s="25">
        <f>'Historical IS'!B22/(B7*1000000)</f>
        <v>4.5926198808865969E-2</v>
      </c>
      <c r="C14" s="25">
        <f>'Historical IS'!C22/(C7*1000000)</f>
        <v>2.9909706546275394E-2</v>
      </c>
      <c r="D14" s="25">
        <f>'Historical IS'!D22/(D7*1000000)</f>
        <v>2.020950164003809E-2</v>
      </c>
      <c r="E14" s="25">
        <f>'Historical IS'!E22/(E7*1000000)</f>
        <v>1.0766788598246946E-2</v>
      </c>
      <c r="F14" s="25">
        <f>'Historical IS'!F22/(F7*1000000)</f>
        <v>1.8071045022717884E-2</v>
      </c>
    </row>
    <row r="15" spans="1:11" x14ac:dyDescent="0.2">
      <c r="A15" s="20" t="s">
        <v>316</v>
      </c>
      <c r="B15" s="25">
        <v>0.25</v>
      </c>
      <c r="C15" s="25">
        <v>0.25</v>
      </c>
      <c r="D15" s="25">
        <v>0.25</v>
      </c>
      <c r="E15" s="25">
        <v>0.25</v>
      </c>
      <c r="F15" s="25">
        <v>0.25</v>
      </c>
      <c r="G15" t="s">
        <v>329</v>
      </c>
    </row>
    <row r="16" spans="1:11" x14ac:dyDescent="0.2">
      <c r="A16" s="20" t="s">
        <v>317</v>
      </c>
      <c r="B16" s="25">
        <f>B14*(1-B15)</f>
        <v>3.4444649106649475E-2</v>
      </c>
      <c r="C16" s="25">
        <f t="shared" ref="C16:F16" si="3">C14*(1-C15)</f>
        <v>2.2432279909706546E-2</v>
      </c>
      <c r="D16" s="25">
        <f t="shared" si="3"/>
        <v>1.5157126230028567E-2</v>
      </c>
      <c r="E16" s="25">
        <f t="shared" si="3"/>
        <v>8.07509144868521E-3</v>
      </c>
      <c r="F16" s="25">
        <f t="shared" si="3"/>
        <v>1.3553283767038413E-2</v>
      </c>
    </row>
    <row r="17" spans="1:6" x14ac:dyDescent="0.2">
      <c r="A17" s="20"/>
      <c r="B17" s="20"/>
      <c r="C17" s="20"/>
      <c r="D17" s="20"/>
      <c r="E17" s="20"/>
      <c r="F17" s="20"/>
    </row>
    <row r="18" spans="1:6" x14ac:dyDescent="0.2">
      <c r="A18" s="8" t="s">
        <v>318</v>
      </c>
      <c r="B18" s="20"/>
      <c r="C18" s="20"/>
      <c r="D18" s="20"/>
      <c r="E18" s="20"/>
      <c r="F18" s="20"/>
    </row>
    <row r="19" spans="1:6" x14ac:dyDescent="0.2">
      <c r="A19" s="20" t="s">
        <v>319</v>
      </c>
      <c r="B19" s="25">
        <v>9.2999999999999992E-3</v>
      </c>
      <c r="C19" s="25">
        <v>1.5100000000000001E-2</v>
      </c>
      <c r="D19" s="25">
        <v>3.8800000000000001E-2</v>
      </c>
      <c r="E19" s="25">
        <v>3.8800000000000001E-2</v>
      </c>
      <c r="F19" s="25">
        <v>4.58E-2</v>
      </c>
    </row>
    <row r="20" spans="1:6" x14ac:dyDescent="0.2">
      <c r="A20" s="20" t="s">
        <v>320</v>
      </c>
      <c r="B20" s="25">
        <v>4.9399999999999999E-2</v>
      </c>
      <c r="C20" s="25">
        <v>4.9000000000000002E-2</v>
      </c>
      <c r="D20" s="25">
        <v>5.11E-2</v>
      </c>
      <c r="E20" s="25">
        <v>4.5699999999999998E-2</v>
      </c>
      <c r="F20" s="25">
        <v>0.04</v>
      </c>
    </row>
    <row r="21" spans="1:6" x14ac:dyDescent="0.2">
      <c r="A21" s="20" t="s">
        <v>321</v>
      </c>
      <c r="B21" s="25">
        <v>0</v>
      </c>
      <c r="C21" s="25">
        <v>0</v>
      </c>
      <c r="D21" s="25">
        <v>0</v>
      </c>
      <c r="E21" s="25">
        <v>0</v>
      </c>
      <c r="F21" s="25">
        <v>0</v>
      </c>
    </row>
    <row r="22" spans="1:6" x14ac:dyDescent="0.2">
      <c r="A22" s="20" t="s">
        <v>322</v>
      </c>
      <c r="B22" s="25">
        <v>0</v>
      </c>
      <c r="C22" s="25">
        <v>0</v>
      </c>
      <c r="D22" s="25">
        <v>0</v>
      </c>
      <c r="E22" s="25">
        <v>0</v>
      </c>
      <c r="F22" s="25">
        <v>0</v>
      </c>
    </row>
    <row r="23" spans="1:6" x14ac:dyDescent="0.2">
      <c r="A23" s="20" t="s">
        <v>323</v>
      </c>
      <c r="B23" s="10">
        <v>2.58</v>
      </c>
      <c r="C23" s="10">
        <v>2.58</v>
      </c>
      <c r="D23" s="10">
        <v>2.58</v>
      </c>
      <c r="E23" s="10">
        <v>2.58</v>
      </c>
      <c r="F23" s="10">
        <v>2.58</v>
      </c>
    </row>
    <row r="24" spans="1:6" x14ac:dyDescent="0.2">
      <c r="A24" s="8" t="s">
        <v>318</v>
      </c>
      <c r="B24" s="25">
        <f t="shared" ref="B24:E24" si="4">B19+B21+B20*B23</f>
        <v>0.13675200000000001</v>
      </c>
      <c r="C24" s="25">
        <f t="shared" si="4"/>
        <v>0.14152000000000001</v>
      </c>
      <c r="D24" s="25">
        <f t="shared" si="4"/>
        <v>0.17063800000000001</v>
      </c>
      <c r="E24" s="25">
        <f t="shared" si="4"/>
        <v>0.15670600000000001</v>
      </c>
      <c r="F24" s="25">
        <f>F19+F21+F20*F23</f>
        <v>0.14899999999999999</v>
      </c>
    </row>
    <row r="25" spans="1:6" x14ac:dyDescent="0.2">
      <c r="A25" s="8" t="s">
        <v>307</v>
      </c>
      <c r="B25" s="25">
        <f t="shared" ref="B25:E25" si="5">B10*B16+B11*B24</f>
        <v>9.5059565830956316E-2</v>
      </c>
      <c r="C25" s="25">
        <f t="shared" si="5"/>
        <v>0.10793816718575944</v>
      </c>
      <c r="D25" s="25">
        <f t="shared" si="5"/>
        <v>0.14408919626370847</v>
      </c>
      <c r="E25" s="25">
        <f t="shared" si="5"/>
        <v>0.12913150085789651</v>
      </c>
      <c r="F25" s="25">
        <f>F10*F16+F11*F24</f>
        <v>0.12080668042300748</v>
      </c>
    </row>
    <row r="27" spans="1:6" x14ac:dyDescent="0.2">
      <c r="A27" t="s">
        <v>328</v>
      </c>
    </row>
    <row r="28" spans="1:6" x14ac:dyDescent="0.2">
      <c r="A28" s="8" t="s">
        <v>324</v>
      </c>
      <c r="B28" s="8">
        <v>2020</v>
      </c>
      <c r="C28" s="8">
        <v>2021</v>
      </c>
      <c r="D28" s="8">
        <v>2022</v>
      </c>
      <c r="E28" s="8">
        <v>2023</v>
      </c>
      <c r="F28" s="8">
        <v>2024</v>
      </c>
    </row>
    <row r="29" spans="1:6" x14ac:dyDescent="0.2">
      <c r="A29" s="20" t="s">
        <v>325</v>
      </c>
      <c r="B29" s="17">
        <v>677450</v>
      </c>
      <c r="C29" s="17">
        <v>1100000</v>
      </c>
      <c r="D29" s="17">
        <v>388980</v>
      </c>
      <c r="E29" s="17">
        <v>789900</v>
      </c>
      <c r="F29" s="17">
        <v>1300000</v>
      </c>
    </row>
    <row r="30" spans="1:6" x14ac:dyDescent="0.2">
      <c r="A30" s="20" t="s">
        <v>96</v>
      </c>
      <c r="B30" s="17">
        <f>'Historical BS'!B51/1000000</f>
        <v>16287</v>
      </c>
      <c r="C30" s="17">
        <f>'Historical BS'!C51/1000000</f>
        <v>12404</v>
      </c>
      <c r="D30" s="17">
        <f>'Historical BS'!D51/1000000</f>
        <v>9451</v>
      </c>
      <c r="E30" s="17">
        <f>'Historical BS'!E51/1000000</f>
        <v>14489</v>
      </c>
      <c r="F30" s="17">
        <f>'Historical BS'!F51/1000000</f>
        <v>19368</v>
      </c>
    </row>
    <row r="31" spans="1:6" x14ac:dyDescent="0.2">
      <c r="A31" s="20" t="s">
        <v>311</v>
      </c>
      <c r="B31" s="10">
        <f>B30/B29</f>
        <v>2.404162668831648E-2</v>
      </c>
      <c r="C31" s="10">
        <f t="shared" ref="C31:F31" si="6">C30/C29</f>
        <v>1.1276363636363636E-2</v>
      </c>
      <c r="D31" s="10">
        <f t="shared" si="6"/>
        <v>2.4296879016916038E-2</v>
      </c>
      <c r="E31" s="10">
        <f t="shared" si="6"/>
        <v>1.8342828206102037E-2</v>
      </c>
      <c r="F31" s="10">
        <f t="shared" si="6"/>
        <v>1.4898461538461539E-2</v>
      </c>
    </row>
    <row r="32" spans="1:6" x14ac:dyDescent="0.2">
      <c r="A32" s="20"/>
      <c r="B32" s="20"/>
      <c r="C32" s="20"/>
      <c r="D32" s="20"/>
      <c r="E32" s="20"/>
      <c r="F32" s="20"/>
    </row>
    <row r="33" spans="1:7" x14ac:dyDescent="0.2">
      <c r="A33" s="20" t="s">
        <v>312</v>
      </c>
      <c r="B33" s="10">
        <f>B30/(B29+B30)</f>
        <v>2.3477196689811845E-2</v>
      </c>
      <c r="C33" s="10">
        <f>C30/(C29+C30)</f>
        <v>1.1150625132595711E-2</v>
      </c>
      <c r="D33" s="10">
        <f>D30/(D29+D30)</f>
        <v>2.372054383318567E-2</v>
      </c>
      <c r="E33" s="10">
        <f>E30/(E29+E30)</f>
        <v>1.8012429309699662E-2</v>
      </c>
      <c r="F33" s="10">
        <f>F30/(F29+F30)</f>
        <v>1.4679755761849612E-2</v>
      </c>
    </row>
    <row r="34" spans="1:7" x14ac:dyDescent="0.2">
      <c r="A34" s="20" t="s">
        <v>313</v>
      </c>
      <c r="B34" s="10">
        <f>B29/(B29+B30)</f>
        <v>0.97652280331018815</v>
      </c>
      <c r="C34" s="10">
        <f>C29/(C29+C30)</f>
        <v>0.98884937486740432</v>
      </c>
      <c r="D34" s="10">
        <f>D29/(D29+D30)</f>
        <v>0.97627945616681433</v>
      </c>
      <c r="E34" s="10">
        <f>E29/(E29+E30)</f>
        <v>0.98198757069030029</v>
      </c>
      <c r="F34" s="10">
        <f>F29/(F29+F30)</f>
        <v>0.98532024423815034</v>
      </c>
    </row>
    <row r="35" spans="1:7" x14ac:dyDescent="0.2">
      <c r="A35" s="20"/>
      <c r="B35" s="20"/>
      <c r="C35" s="20"/>
      <c r="D35" s="20"/>
      <c r="E35" s="20"/>
      <c r="F35" s="20"/>
    </row>
    <row r="36" spans="1:7" x14ac:dyDescent="0.2">
      <c r="A36" s="8" t="s">
        <v>330</v>
      </c>
      <c r="B36" s="20"/>
      <c r="C36" s="20"/>
      <c r="D36" s="20"/>
      <c r="E36" s="20"/>
      <c r="F36" s="20"/>
    </row>
    <row r="37" spans="1:7" x14ac:dyDescent="0.2">
      <c r="A37" s="20" t="s">
        <v>326</v>
      </c>
      <c r="B37" s="25">
        <f>B14</f>
        <v>4.5926198808865969E-2</v>
      </c>
      <c r="C37" s="25">
        <f t="shared" ref="C37:F37" si="7">C14</f>
        <v>2.9909706546275394E-2</v>
      </c>
      <c r="D37" s="25">
        <f t="shared" si="7"/>
        <v>2.020950164003809E-2</v>
      </c>
      <c r="E37" s="25">
        <f t="shared" si="7"/>
        <v>1.0766788598246946E-2</v>
      </c>
      <c r="F37" s="25">
        <f t="shared" si="7"/>
        <v>1.8071045022717884E-2</v>
      </c>
    </row>
    <row r="38" spans="1:7" x14ac:dyDescent="0.2">
      <c r="A38" s="20" t="s">
        <v>316</v>
      </c>
      <c r="B38" s="25">
        <f>B15</f>
        <v>0.25</v>
      </c>
      <c r="C38" s="25">
        <f t="shared" ref="C38:F38" si="8">C15</f>
        <v>0.25</v>
      </c>
      <c r="D38" s="25">
        <f t="shared" si="8"/>
        <v>0.25</v>
      </c>
      <c r="E38" s="25">
        <f t="shared" si="8"/>
        <v>0.25</v>
      </c>
      <c r="F38" s="25">
        <f t="shared" si="8"/>
        <v>0.25</v>
      </c>
    </row>
    <row r="39" spans="1:7" x14ac:dyDescent="0.2">
      <c r="A39" s="8" t="s">
        <v>317</v>
      </c>
      <c r="B39" s="25">
        <f>B16</f>
        <v>3.4444649106649475E-2</v>
      </c>
      <c r="C39" s="25">
        <f t="shared" ref="C39:F39" si="9">C16</f>
        <v>2.2432279909706546E-2</v>
      </c>
      <c r="D39" s="25">
        <f t="shared" si="9"/>
        <v>1.5157126230028567E-2</v>
      </c>
      <c r="E39" s="25">
        <f t="shared" si="9"/>
        <v>8.07509144868521E-3</v>
      </c>
      <c r="F39" s="25">
        <f t="shared" si="9"/>
        <v>1.3553283767038413E-2</v>
      </c>
    </row>
    <row r="40" spans="1:7" x14ac:dyDescent="0.2">
      <c r="A40" s="20"/>
      <c r="B40" s="20"/>
      <c r="C40" s="20"/>
      <c r="D40" s="20"/>
      <c r="E40" s="20"/>
      <c r="F40" s="20"/>
    </row>
    <row r="41" spans="1:7" x14ac:dyDescent="0.2">
      <c r="A41" s="8" t="s">
        <v>331</v>
      </c>
      <c r="B41" s="20"/>
      <c r="C41" s="20"/>
      <c r="D41" s="20"/>
      <c r="E41" s="20"/>
      <c r="F41" s="20"/>
    </row>
    <row r="42" spans="1:7" x14ac:dyDescent="0.2">
      <c r="A42" s="20" t="s">
        <v>327</v>
      </c>
      <c r="B42" s="25">
        <f>B19</f>
        <v>9.2999999999999992E-3</v>
      </c>
      <c r="C42" s="25">
        <f t="shared" ref="C42:F42" si="10">C19</f>
        <v>1.5100000000000001E-2</v>
      </c>
      <c r="D42" s="25">
        <f t="shared" si="10"/>
        <v>3.8800000000000001E-2</v>
      </c>
      <c r="E42" s="25">
        <f t="shared" si="10"/>
        <v>3.8800000000000001E-2</v>
      </c>
      <c r="F42" s="25">
        <f t="shared" si="10"/>
        <v>4.58E-2</v>
      </c>
    </row>
    <row r="43" spans="1:7" x14ac:dyDescent="0.2">
      <c r="A43" s="20" t="s">
        <v>320</v>
      </c>
      <c r="B43" s="25">
        <f t="shared" ref="B43:E43" si="11">B20</f>
        <v>4.9399999999999999E-2</v>
      </c>
      <c r="C43" s="25">
        <f t="shared" si="11"/>
        <v>4.9000000000000002E-2</v>
      </c>
      <c r="D43" s="25">
        <f t="shared" si="11"/>
        <v>5.11E-2</v>
      </c>
      <c r="E43" s="25">
        <f t="shared" si="11"/>
        <v>4.5699999999999998E-2</v>
      </c>
      <c r="F43" s="25">
        <f>F20</f>
        <v>0.04</v>
      </c>
    </row>
    <row r="44" spans="1:7" x14ac:dyDescent="0.2">
      <c r="A44" s="20" t="s">
        <v>321</v>
      </c>
      <c r="B44" s="25">
        <f t="shared" ref="B44:E44" si="12">B21</f>
        <v>0</v>
      </c>
      <c r="C44" s="25">
        <f t="shared" si="12"/>
        <v>0</v>
      </c>
      <c r="D44" s="25">
        <f t="shared" si="12"/>
        <v>0</v>
      </c>
      <c r="E44" s="25">
        <f t="shared" si="12"/>
        <v>0</v>
      </c>
      <c r="F44" s="25">
        <f>F21</f>
        <v>0</v>
      </c>
    </row>
    <row r="45" spans="1:7" x14ac:dyDescent="0.2">
      <c r="A45" s="20" t="s">
        <v>322</v>
      </c>
      <c r="B45" s="25">
        <f>B22</f>
        <v>0</v>
      </c>
      <c r="C45" s="25">
        <f t="shared" ref="C45:F45" si="13">C22</f>
        <v>0</v>
      </c>
      <c r="D45" s="25">
        <f t="shared" si="13"/>
        <v>0</v>
      </c>
      <c r="E45" s="25">
        <f t="shared" si="13"/>
        <v>0</v>
      </c>
      <c r="F45" s="25">
        <f t="shared" si="13"/>
        <v>0</v>
      </c>
    </row>
    <row r="46" spans="1:7" x14ac:dyDescent="0.2">
      <c r="A46" s="20" t="s">
        <v>323</v>
      </c>
      <c r="B46" s="10">
        <f>B23</f>
        <v>2.58</v>
      </c>
      <c r="C46" s="10">
        <f t="shared" ref="C46:F46" si="14">C23</f>
        <v>2.58</v>
      </c>
      <c r="D46" s="10">
        <f t="shared" si="14"/>
        <v>2.58</v>
      </c>
      <c r="E46" s="10">
        <f t="shared" si="14"/>
        <v>2.58</v>
      </c>
      <c r="F46" s="10">
        <f t="shared" si="14"/>
        <v>2.58</v>
      </c>
    </row>
    <row r="47" spans="1:7" x14ac:dyDescent="0.2">
      <c r="A47" s="8" t="s">
        <v>318</v>
      </c>
      <c r="B47" s="25">
        <f t="shared" ref="B47:E47" si="15">B42+B44+B43*B46</f>
        <v>0.13675200000000001</v>
      </c>
      <c r="C47" s="25">
        <f t="shared" si="15"/>
        <v>0.14152000000000001</v>
      </c>
      <c r="D47" s="25">
        <f t="shared" si="15"/>
        <v>0.17063800000000001</v>
      </c>
      <c r="E47" s="25">
        <f t="shared" si="15"/>
        <v>0.15670600000000001</v>
      </c>
      <c r="F47" s="25">
        <f>F42+F44+F43*F46</f>
        <v>0.14899999999999999</v>
      </c>
    </row>
    <row r="48" spans="1:7" x14ac:dyDescent="0.2">
      <c r="A48" s="8" t="s">
        <v>307</v>
      </c>
      <c r="B48" s="25">
        <f t="shared" ref="B48:E48" si="16">B33*B39+B34*B47</f>
        <v>0.13435011020026322</v>
      </c>
      <c r="C48" s="25">
        <f t="shared" si="16"/>
        <v>0.14019209747537764</v>
      </c>
      <c r="D48" s="25">
        <f t="shared" si="16"/>
        <v>0.1669499091185174</v>
      </c>
      <c r="E48" s="25">
        <f t="shared" si="16"/>
        <v>0.154028796266483</v>
      </c>
      <c r="F48" s="25">
        <f>F33*F39+F34*F47</f>
        <v>0.14701167528695555</v>
      </c>
      <c r="G48" s="6">
        <f>AVERAGE(B48:F48)</f>
        <v>0.14850651766951936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C3F3-65F9-CC44-B8FB-CF6AD9075CF3}">
  <dimension ref="A1:G12"/>
  <sheetViews>
    <sheetView zoomScale="132" workbookViewId="0">
      <selection activeCell="H8" sqref="H8"/>
    </sheetView>
  </sheetViews>
  <sheetFormatPr baseColWidth="10" defaultRowHeight="15" x14ac:dyDescent="0.2"/>
  <cols>
    <col min="1" max="1" width="32.33203125" customWidth="1"/>
    <col min="2" max="2" width="13.1640625" bestFit="1" customWidth="1"/>
  </cols>
  <sheetData>
    <row r="1" spans="1:7" x14ac:dyDescent="0.2">
      <c r="A1" s="8" t="s">
        <v>292</v>
      </c>
      <c r="B1" s="8">
        <v>2020</v>
      </c>
      <c r="C1" s="8">
        <v>2021</v>
      </c>
      <c r="D1" s="8">
        <v>2022</v>
      </c>
      <c r="E1" s="8">
        <v>2023</v>
      </c>
      <c r="F1" s="8">
        <v>2024</v>
      </c>
      <c r="G1" s="35" t="s">
        <v>274</v>
      </c>
    </row>
    <row r="2" spans="1:7" x14ac:dyDescent="0.2">
      <c r="A2" s="20"/>
      <c r="B2" s="20"/>
      <c r="C2" s="20"/>
      <c r="D2" s="20"/>
      <c r="E2" s="20"/>
      <c r="F2" s="20"/>
      <c r="G2" s="20"/>
    </row>
    <row r="3" spans="1:7" x14ac:dyDescent="0.2">
      <c r="A3" s="17" t="s">
        <v>10</v>
      </c>
      <c r="B3" s="17">
        <f>'Historical BS'!B12/1000000</f>
        <v>23378</v>
      </c>
      <c r="C3" s="17">
        <f>'Historical BS'!C12/1000000</f>
        <v>31176</v>
      </c>
      <c r="D3" s="17">
        <f>'Historical BS'!D12/1000000</f>
        <v>36635</v>
      </c>
      <c r="E3" s="17">
        <f>'Historical BS'!E12/1000000</f>
        <v>45123</v>
      </c>
      <c r="F3" s="17">
        <f>'Historical BS'!F12/1000000</f>
        <v>51507</v>
      </c>
      <c r="G3" s="20"/>
    </row>
    <row r="4" spans="1:7" x14ac:dyDescent="0.2">
      <c r="A4" s="20" t="s">
        <v>294</v>
      </c>
      <c r="B4" s="20"/>
      <c r="C4" s="25">
        <f>(C3-B3)/B3</f>
        <v>0.33356146804688169</v>
      </c>
      <c r="D4" s="25">
        <f t="shared" ref="D4:F4" si="0">(D3-C3)/C3</f>
        <v>0.17510264305876316</v>
      </c>
      <c r="E4" s="25">
        <f t="shared" si="0"/>
        <v>0.23169100586870478</v>
      </c>
      <c r="F4" s="25">
        <f t="shared" si="0"/>
        <v>0.14147995479024</v>
      </c>
      <c r="G4" s="25">
        <f>AVERAGE(C4:F4)</f>
        <v>0.22045876794114741</v>
      </c>
    </row>
    <row r="5" spans="1:7" x14ac:dyDescent="0.2">
      <c r="A5" s="20" t="s">
        <v>202</v>
      </c>
      <c r="B5" s="17">
        <f>'Cash Flow'!B5/1000000</f>
        <v>2322</v>
      </c>
      <c r="C5" s="17">
        <f>'Cash Flow'!C5/1000000</f>
        <v>2911</v>
      </c>
      <c r="D5" s="17">
        <f>'Cash Flow'!D5/1000000</f>
        <v>3543</v>
      </c>
      <c r="E5" s="17">
        <f>'Cash Flow'!E5/1000000</f>
        <v>4667</v>
      </c>
      <c r="F5" s="17">
        <f>'Cash Flow'!F5/1000000</f>
        <v>5368</v>
      </c>
      <c r="G5" s="20"/>
    </row>
    <row r="6" spans="1:7" x14ac:dyDescent="0.2">
      <c r="A6" s="20" t="s">
        <v>293</v>
      </c>
      <c r="B6" s="20"/>
      <c r="C6" s="25">
        <f>(C5-B5)/B5</f>
        <v>0.25366063738156763</v>
      </c>
      <c r="D6" s="25">
        <f t="shared" ref="D6:F6" si="1">(D5-C5)/C5</f>
        <v>0.21710752318790794</v>
      </c>
      <c r="E6" s="25">
        <f t="shared" si="1"/>
        <v>0.31724527236804967</v>
      </c>
      <c r="F6" s="25">
        <f t="shared" si="1"/>
        <v>0.15020355688879367</v>
      </c>
      <c r="G6" s="25">
        <f>AVERAGE(C6:F6)</f>
        <v>0.23455424745657971</v>
      </c>
    </row>
    <row r="9" spans="1:7" x14ac:dyDescent="0.2">
      <c r="A9" s="8" t="s">
        <v>295</v>
      </c>
      <c r="B9" s="35" t="s">
        <v>166</v>
      </c>
      <c r="C9" s="35" t="s">
        <v>167</v>
      </c>
      <c r="D9" s="35" t="s">
        <v>168</v>
      </c>
      <c r="E9" s="35" t="s">
        <v>169</v>
      </c>
      <c r="F9" s="35" t="s">
        <v>171</v>
      </c>
    </row>
    <row r="10" spans="1:7" x14ac:dyDescent="0.2">
      <c r="A10" s="17" t="s">
        <v>10</v>
      </c>
      <c r="B10" s="17">
        <f>F3*(1+$G$4)</f>
        <v>62862.169760344681</v>
      </c>
      <c r="C10" s="17">
        <f>B10*(1+$G$4)</f>
        <v>76720.68625581752</v>
      </c>
      <c r="D10" s="17">
        <f t="shared" ref="D10:F10" si="2">C10*(1+$G$4)</f>
        <v>93634.434223374366</v>
      </c>
      <c r="E10" s="17">
        <f t="shared" si="2"/>
        <v>114276.96622912589</v>
      </c>
      <c r="F10" s="17">
        <f t="shared" si="2"/>
        <v>139470.32540805108</v>
      </c>
      <c r="G10" t="s">
        <v>358</v>
      </c>
    </row>
    <row r="11" spans="1:7" x14ac:dyDescent="0.2">
      <c r="A11" s="20" t="s">
        <v>296</v>
      </c>
      <c r="B11" s="17">
        <f>B10-F3</f>
        <v>11355.169760344681</v>
      </c>
      <c r="C11" s="17">
        <f>C10-B10</f>
        <v>13858.516495472839</v>
      </c>
      <c r="D11" s="17">
        <f t="shared" ref="D11:F11" si="3">D10-C10</f>
        <v>16913.747967556847</v>
      </c>
      <c r="E11" s="17">
        <f t="shared" si="3"/>
        <v>20642.53200575152</v>
      </c>
      <c r="F11" s="17">
        <f t="shared" si="3"/>
        <v>25193.359178925195</v>
      </c>
    </row>
    <row r="12" spans="1:7" x14ac:dyDescent="0.2">
      <c r="A12" s="20" t="s">
        <v>297</v>
      </c>
      <c r="B12" s="17">
        <f>$G$6*F5+F5</f>
        <v>6627.0872003469194</v>
      </c>
      <c r="C12" s="17">
        <f>$G$6*B12+B12</f>
        <v>8181.498651453423</v>
      </c>
      <c r="D12" s="17">
        <f t="shared" ref="D12:F12" si="4">$G$6*C12+C12</f>
        <v>10100.503910712103</v>
      </c>
      <c r="E12" s="17">
        <f t="shared" si="4"/>
        <v>12469.62000442142</v>
      </c>
      <c r="F12" s="17">
        <f t="shared" si="4"/>
        <v>15394.422340627998</v>
      </c>
    </row>
  </sheetData>
  <pageMargins left="0.7" right="0.7" top="0.75" bottom="0.75" header="0.3" footer="0.3"/>
  <ignoredErrors>
    <ignoredError sqref="C5:F5" formula="1"/>
  </ignoredErrors>
</worksheet>
</file>

<file path=docMetadata/LabelInfo.xml><?xml version="1.0" encoding="utf-8"?>
<clbl:labelList xmlns:clbl="http://schemas.microsoft.com/office/2020/mipLabelMetadata">
  <clbl:label id="{11904f23-f0db-4cdc-96f7-390bd55fcee8}" enabled="0" method="" siteId="{11904f23-f0db-4cdc-96f7-390bd55fcee8}"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Historical IS</vt:lpstr>
      <vt:lpstr>Historical BS</vt:lpstr>
      <vt:lpstr>Cash Flow</vt:lpstr>
      <vt:lpstr>FA Measures</vt:lpstr>
      <vt:lpstr>Plan - Sales</vt:lpstr>
      <vt:lpstr>Plan - WC</vt:lpstr>
      <vt:lpstr>Plan - Income Stat</vt:lpstr>
      <vt:lpstr>WACC</vt:lpstr>
      <vt:lpstr>Plan of Investments</vt:lpstr>
      <vt:lpstr>FCFF and Valuation</vt:lpstr>
      <vt:lpstr>CS Vertical BS</vt:lpstr>
      <vt:lpstr>CS Vertical IS</vt:lpstr>
      <vt:lpstr>CS Horizontal IS</vt:lpstr>
      <vt:lpstr>CS Horizontal BS</vt:lpstr>
      <vt:lpstr>Revenue Share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Anusha Pramidala</cp:lastModifiedBy>
  <dcterms:created xsi:type="dcterms:W3CDTF">2025-04-18T15:05:54Z</dcterms:created>
  <dcterms:modified xsi:type="dcterms:W3CDTF">2025-05-28T10:30:08Z</dcterms:modified>
</cp:coreProperties>
</file>