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03_Modelos_Metabolicos\Biomasa\"/>
    </mc:Choice>
  </mc:AlternateContent>
  <xr:revisionPtr revIDLastSave="0" documentId="13_ncr:1_{5E69C795-B642-43CE-9DD0-38DC2DE83441}" xr6:coauthVersionLast="47" xr6:coauthVersionMax="47" xr10:uidLastSave="{00000000-0000-0000-0000-000000000000}"/>
  <bookViews>
    <workbookView xWindow="-108" yWindow="-108" windowWidth="23256" windowHeight="12456" activeTab="3" xr2:uid="{DF89883D-051A-4653-9C81-C66B3CC6B9BC}"/>
  </bookViews>
  <sheets>
    <sheet name="Resumen" sheetId="10" r:id="rId1"/>
    <sheet name="Hoja1" sheetId="11" r:id="rId2"/>
    <sheet name="Proteina" sheetId="1" r:id="rId3"/>
    <sheet name="DNA" sheetId="2" r:id="rId4"/>
    <sheet name="RNA" sheetId="3" r:id="rId5"/>
    <sheet name="Lipidos" sheetId="4" r:id="rId6"/>
    <sheet name="Lipopolisacaridos" sheetId="5" r:id="rId7"/>
    <sheet name="PG" sheetId="6" r:id="rId8"/>
    <sheet name="POLIAM" sheetId="8" r:id="rId9"/>
    <sheet name="OM" sheetId="9" r:id="rId10"/>
    <sheet name="CarboH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4" l="1"/>
  <c r="Q25" i="4"/>
  <c r="Q24" i="4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46" i="1"/>
  <c r="D66" i="1"/>
  <c r="E66" i="1"/>
  <c r="F66" i="1"/>
  <c r="C66" i="1"/>
  <c r="P58" i="1"/>
  <c r="P50" i="1"/>
  <c r="P47" i="1"/>
  <c r="P48" i="1"/>
  <c r="P49" i="1"/>
  <c r="P51" i="1"/>
  <c r="P52" i="1"/>
  <c r="P53" i="1"/>
  <c r="P54" i="1"/>
  <c r="P55" i="1"/>
  <c r="P56" i="1"/>
  <c r="P57" i="1"/>
  <c r="P59" i="1"/>
  <c r="P60" i="1"/>
  <c r="P61" i="1"/>
  <c r="P62" i="1"/>
  <c r="P63" i="1"/>
  <c r="P64" i="1"/>
  <c r="P65" i="1"/>
  <c r="P46" i="1"/>
  <c r="D83" i="10"/>
  <c r="C83" i="10"/>
  <c r="F83" i="10"/>
  <c r="E83" i="10"/>
  <c r="C82" i="10"/>
  <c r="A78" i="10"/>
  <c r="A79" i="10"/>
  <c r="A80" i="10"/>
  <c r="A81" i="10"/>
  <c r="A82" i="10"/>
  <c r="A77" i="10"/>
  <c r="C78" i="10"/>
  <c r="D78" i="10"/>
  <c r="E78" i="10"/>
  <c r="F78" i="10"/>
  <c r="C79" i="10"/>
  <c r="D79" i="10"/>
  <c r="E79" i="10"/>
  <c r="F79" i="10"/>
  <c r="C80" i="10"/>
  <c r="D80" i="10"/>
  <c r="E80" i="10"/>
  <c r="F80" i="10"/>
  <c r="C81" i="10"/>
  <c r="D81" i="10"/>
  <c r="E81" i="10"/>
  <c r="F81" i="10"/>
  <c r="D82" i="10"/>
  <c r="E82" i="10"/>
  <c r="F82" i="10"/>
  <c r="D77" i="10"/>
  <c r="E77" i="10"/>
  <c r="F77" i="10"/>
  <c r="C77" i="10"/>
  <c r="G3" i="10"/>
  <c r="G4" i="10"/>
  <c r="G5" i="10"/>
  <c r="G6" i="10"/>
  <c r="G7" i="10"/>
  <c r="G8" i="10"/>
  <c r="G9" i="10"/>
  <c r="G10" i="10"/>
  <c r="G2" i="10"/>
  <c r="B52" i="10"/>
  <c r="B68" i="10"/>
  <c r="E27" i="10"/>
  <c r="I41" i="10"/>
  <c r="C41" i="10"/>
  <c r="F2" i="10"/>
  <c r="E15" i="1"/>
  <c r="D15" i="1"/>
  <c r="C15" i="1"/>
  <c r="D2" i="1"/>
  <c r="P66" i="1" l="1"/>
  <c r="B41" i="10"/>
  <c r="L67" i="10"/>
  <c r="K67" i="10"/>
  <c r="J67" i="10"/>
  <c r="I67" i="10"/>
  <c r="C69" i="10"/>
  <c r="D69" i="10"/>
  <c r="E69" i="10"/>
  <c r="F69" i="10"/>
  <c r="C70" i="10"/>
  <c r="D70" i="10"/>
  <c r="E70" i="10"/>
  <c r="F70" i="10"/>
  <c r="C71" i="10"/>
  <c r="D71" i="10"/>
  <c r="E71" i="10"/>
  <c r="F71" i="10"/>
  <c r="C72" i="10"/>
  <c r="D72" i="10"/>
  <c r="E72" i="10"/>
  <c r="F72" i="10"/>
  <c r="C73" i="10"/>
  <c r="D73" i="10"/>
  <c r="E73" i="10"/>
  <c r="F73" i="10"/>
  <c r="D68" i="10"/>
  <c r="E68" i="10"/>
  <c r="F68" i="10"/>
  <c r="C68" i="10"/>
  <c r="K52" i="10"/>
  <c r="K34" i="3"/>
  <c r="K33" i="3"/>
  <c r="K32" i="3"/>
  <c r="K31" i="3"/>
  <c r="K34" i="2"/>
  <c r="K33" i="2"/>
  <c r="K32" i="2"/>
  <c r="K31" i="2"/>
  <c r="D44" i="10"/>
  <c r="E44" i="10"/>
  <c r="F44" i="10"/>
  <c r="C44" i="10"/>
  <c r="C32" i="4"/>
  <c r="F3" i="10"/>
  <c r="I46" i="1"/>
  <c r="B42" i="10" l="1"/>
  <c r="D54" i="10" l="1"/>
  <c r="L51" i="10"/>
  <c r="K51" i="10"/>
  <c r="J51" i="10"/>
  <c r="I51" i="10"/>
  <c r="C52" i="10"/>
  <c r="I52" i="10" s="1"/>
  <c r="J40" i="10"/>
  <c r="K40" i="10"/>
  <c r="L40" i="10"/>
  <c r="I40" i="10"/>
  <c r="D46" i="10"/>
  <c r="E46" i="10"/>
  <c r="F46" i="10"/>
  <c r="C46" i="10"/>
  <c r="D45" i="10"/>
  <c r="D56" i="10" s="1"/>
  <c r="E45" i="10"/>
  <c r="F45" i="10"/>
  <c r="C45" i="10"/>
  <c r="D55" i="10"/>
  <c r="C55" i="10"/>
  <c r="D43" i="10"/>
  <c r="E43" i="10"/>
  <c r="F43" i="10"/>
  <c r="C43" i="10"/>
  <c r="D42" i="10"/>
  <c r="E42" i="10"/>
  <c r="K42" i="10" s="1"/>
  <c r="F42" i="10"/>
  <c r="L42" i="10" s="1"/>
  <c r="C42" i="10"/>
  <c r="D41" i="10"/>
  <c r="E41" i="10"/>
  <c r="F41" i="10"/>
  <c r="J34" i="5"/>
  <c r="K34" i="5"/>
  <c r="L34" i="5"/>
  <c r="M34" i="5"/>
  <c r="I34" i="5"/>
  <c r="J27" i="5"/>
  <c r="I27" i="5"/>
  <c r="H28" i="5"/>
  <c r="H29" i="5"/>
  <c r="K29" i="5" s="1"/>
  <c r="H30" i="5"/>
  <c r="L30" i="5" s="1"/>
  <c r="H31" i="5"/>
  <c r="L31" i="5" s="1"/>
  <c r="H32" i="5"/>
  <c r="H33" i="5"/>
  <c r="L33" i="5" s="1"/>
  <c r="H27" i="5"/>
  <c r="A27" i="5"/>
  <c r="A28" i="5"/>
  <c r="A29" i="5"/>
  <c r="A30" i="5"/>
  <c r="A31" i="5"/>
  <c r="A32" i="5"/>
  <c r="A33" i="5"/>
  <c r="A26" i="5"/>
  <c r="L32" i="5"/>
  <c r="K31" i="5"/>
  <c r="J31" i="5"/>
  <c r="M30" i="5"/>
  <c r="K30" i="5"/>
  <c r="J30" i="5"/>
  <c r="I30" i="5"/>
  <c r="J29" i="5"/>
  <c r="M29" i="5"/>
  <c r="L28" i="5"/>
  <c r="L27" i="5"/>
  <c r="K27" i="5"/>
  <c r="D32" i="4"/>
  <c r="F32" i="4"/>
  <c r="G32" i="4"/>
  <c r="J38" i="4"/>
  <c r="K38" i="4"/>
  <c r="E32" i="4" s="1"/>
  <c r="L38" i="4"/>
  <c r="M38" i="4"/>
  <c r="I38" i="4"/>
  <c r="I37" i="4"/>
  <c r="J37" i="4"/>
  <c r="K37" i="4"/>
  <c r="L37" i="4"/>
  <c r="M37" i="4"/>
  <c r="J36" i="4"/>
  <c r="K36" i="4"/>
  <c r="L36" i="4"/>
  <c r="M36" i="4"/>
  <c r="I36" i="4"/>
  <c r="C37" i="4"/>
  <c r="D37" i="4"/>
  <c r="F37" i="4"/>
  <c r="D36" i="4"/>
  <c r="E36" i="4"/>
  <c r="F36" i="4"/>
  <c r="C36" i="4"/>
  <c r="H37" i="4"/>
  <c r="H36" i="4"/>
  <c r="A37" i="4"/>
  <c r="A36" i="4"/>
  <c r="M33" i="4"/>
  <c r="H33" i="4"/>
  <c r="L33" i="4" s="1"/>
  <c r="M32" i="4"/>
  <c r="L32" i="4"/>
  <c r="H32" i="4"/>
  <c r="A32" i="4"/>
  <c r="M31" i="4"/>
  <c r="L31" i="4"/>
  <c r="K31" i="4"/>
  <c r="H31" i="4"/>
  <c r="J31" i="4" s="1"/>
  <c r="A31" i="4"/>
  <c r="M30" i="4"/>
  <c r="L30" i="4"/>
  <c r="K30" i="4"/>
  <c r="J30" i="4"/>
  <c r="H30" i="4"/>
  <c r="I30" i="4" s="1"/>
  <c r="A30" i="4"/>
  <c r="A29" i="4"/>
  <c r="J35" i="2"/>
  <c r="K35" i="2"/>
  <c r="L35" i="2"/>
  <c r="M35" i="2"/>
  <c r="I35" i="2"/>
  <c r="J35" i="3"/>
  <c r="K35" i="3"/>
  <c r="L35" i="3"/>
  <c r="M35" i="3"/>
  <c r="I35" i="3"/>
  <c r="I31" i="3"/>
  <c r="H31" i="3"/>
  <c r="H34" i="3"/>
  <c r="M34" i="3" s="1"/>
  <c r="A34" i="3"/>
  <c r="M33" i="3"/>
  <c r="H33" i="3"/>
  <c r="L33" i="3" s="1"/>
  <c r="A33" i="3"/>
  <c r="M32" i="3"/>
  <c r="L32" i="3"/>
  <c r="H32" i="3"/>
  <c r="A32" i="3"/>
  <c r="M31" i="3"/>
  <c r="L31" i="3"/>
  <c r="J31" i="3"/>
  <c r="A31" i="3"/>
  <c r="A30" i="3"/>
  <c r="K46" i="1"/>
  <c r="J46" i="1"/>
  <c r="K6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M32" i="2"/>
  <c r="M33" i="2"/>
  <c r="M34" i="2"/>
  <c r="L32" i="2"/>
  <c r="L33" i="2"/>
  <c r="L34" i="2"/>
  <c r="J33" i="2"/>
  <c r="J32" i="2"/>
  <c r="J34" i="2"/>
  <c r="L31" i="2"/>
  <c r="J31" i="2"/>
  <c r="M31" i="2"/>
  <c r="I34" i="2"/>
  <c r="I33" i="2"/>
  <c r="I32" i="2"/>
  <c r="I31" i="2"/>
  <c r="H32" i="2"/>
  <c r="H33" i="2"/>
  <c r="H34" i="2"/>
  <c r="H31" i="2"/>
  <c r="A30" i="2"/>
  <c r="A32" i="2"/>
  <c r="A33" i="2"/>
  <c r="A34" i="2"/>
  <c r="A31" i="2"/>
  <c r="J66" i="1"/>
  <c r="L66" i="1"/>
  <c r="M6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46" i="1"/>
  <c r="F24" i="9"/>
  <c r="H19" i="9" s="1"/>
  <c r="H14" i="9" a="1"/>
  <c r="H14" i="9" s="1"/>
  <c r="F14" i="5"/>
  <c r="F15" i="9"/>
  <c r="F16" i="9"/>
  <c r="F17" i="9"/>
  <c r="F18" i="9"/>
  <c r="F19" i="9"/>
  <c r="F20" i="9"/>
  <c r="F21" i="9"/>
  <c r="F22" i="9"/>
  <c r="F14" i="9"/>
  <c r="E22" i="5"/>
  <c r="H20" i="5"/>
  <c r="F15" i="5"/>
  <c r="F16" i="5"/>
  <c r="F17" i="5"/>
  <c r="F18" i="5"/>
  <c r="F19" i="5"/>
  <c r="F20" i="5"/>
  <c r="F21" i="5"/>
  <c r="F15" i="4"/>
  <c r="F16" i="4"/>
  <c r="F19" i="4"/>
  <c r="H20" i="4" s="1"/>
  <c r="F14" i="4"/>
  <c r="C25" i="4"/>
  <c r="C24" i="4"/>
  <c r="H38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5" i="1"/>
  <c r="F16" i="3"/>
  <c r="F17" i="3"/>
  <c r="F18" i="3"/>
  <c r="F19" i="3"/>
  <c r="F20" i="3"/>
  <c r="H21" i="3" s="1"/>
  <c r="F15" i="3"/>
  <c r="H20" i="2"/>
  <c r="F20" i="2"/>
  <c r="F19" i="2"/>
  <c r="F16" i="2"/>
  <c r="F17" i="2"/>
  <c r="F18" i="2"/>
  <c r="F15" i="2"/>
  <c r="H23" i="3"/>
  <c r="H23" i="2"/>
  <c r="H21" i="2"/>
  <c r="C3" i="1"/>
  <c r="C4" i="1"/>
  <c r="C5" i="1"/>
  <c r="C6" i="1"/>
  <c r="C7" i="1"/>
  <c r="C8" i="1"/>
  <c r="D8" i="1" s="1"/>
  <c r="C9" i="1"/>
  <c r="D9" i="1" s="1"/>
  <c r="C10" i="1"/>
  <c r="D10" i="1" s="1"/>
  <c r="C2" i="1"/>
  <c r="I9" i="10"/>
  <c r="H14" i="8" a="1"/>
  <c r="H14" i="8" s="1"/>
  <c r="H14" i="7" a="1"/>
  <c r="H14" i="7" s="1"/>
  <c r="I7" i="10"/>
  <c r="B16" i="10"/>
  <c r="B17" i="10"/>
  <c r="B18" i="10"/>
  <c r="B19" i="10"/>
  <c r="B20" i="10"/>
  <c r="B21" i="10"/>
  <c r="F10" i="10"/>
  <c r="I21" i="10" s="1"/>
  <c r="F9" i="10"/>
  <c r="I20" i="10" s="1"/>
  <c r="F8" i="10"/>
  <c r="F7" i="10"/>
  <c r="F6" i="10"/>
  <c r="F5" i="10"/>
  <c r="F4" i="10"/>
  <c r="B53" i="10"/>
  <c r="E4" i="10"/>
  <c r="B15" i="10" s="1"/>
  <c r="E3" i="10"/>
  <c r="B14" i="10" s="1"/>
  <c r="B11" i="10"/>
  <c r="H22" i="9"/>
  <c r="D15" i="9"/>
  <c r="D16" i="9"/>
  <c r="D17" i="9"/>
  <c r="D18" i="9"/>
  <c r="D19" i="9"/>
  <c r="D20" i="9"/>
  <c r="D21" i="9"/>
  <c r="D22" i="9"/>
  <c r="C15" i="9"/>
  <c r="C16" i="9"/>
  <c r="C17" i="9"/>
  <c r="C18" i="9"/>
  <c r="C24" i="9" s="1"/>
  <c r="C19" i="9"/>
  <c r="C20" i="9"/>
  <c r="C21" i="9"/>
  <c r="C22" i="9"/>
  <c r="B24" i="9"/>
  <c r="D14" i="9" s="1"/>
  <c r="C14" i="9"/>
  <c r="B10" i="9"/>
  <c r="H22" i="7"/>
  <c r="H22" i="8"/>
  <c r="H20" i="8"/>
  <c r="B21" i="8"/>
  <c r="C15" i="8"/>
  <c r="C14" i="8"/>
  <c r="C21" i="8" s="1"/>
  <c r="B10" i="8"/>
  <c r="H20" i="7"/>
  <c r="B21" i="7"/>
  <c r="C14" i="7"/>
  <c r="C21" i="7" s="1"/>
  <c r="B10" i="7"/>
  <c r="H22" i="6"/>
  <c r="H22" i="5"/>
  <c r="H20" i="6"/>
  <c r="B21" i="6"/>
  <c r="D15" i="6" s="1"/>
  <c r="F15" i="6" s="1"/>
  <c r="C18" i="6"/>
  <c r="C17" i="6"/>
  <c r="D16" i="6"/>
  <c r="F16" i="6" s="1"/>
  <c r="C16" i="6"/>
  <c r="C15" i="6"/>
  <c r="D14" i="6"/>
  <c r="C14" i="6"/>
  <c r="B10" i="6"/>
  <c r="C15" i="5"/>
  <c r="C16" i="5"/>
  <c r="C21" i="5" s="1"/>
  <c r="C17" i="5"/>
  <c r="C18" i="5"/>
  <c r="C19" i="5"/>
  <c r="C20" i="5"/>
  <c r="B21" i="5"/>
  <c r="D14" i="5" s="1"/>
  <c r="D15" i="5"/>
  <c r="D16" i="5"/>
  <c r="D17" i="5"/>
  <c r="D18" i="5"/>
  <c r="D20" i="5"/>
  <c r="B20" i="5"/>
  <c r="C14" i="5"/>
  <c r="B10" i="5"/>
  <c r="H22" i="4"/>
  <c r="D19" i="4"/>
  <c r="D14" i="4"/>
  <c r="B19" i="4"/>
  <c r="B24" i="4"/>
  <c r="D16" i="4"/>
  <c r="C16" i="4"/>
  <c r="C15" i="4"/>
  <c r="C14" i="4"/>
  <c r="B10" i="4"/>
  <c r="D20" i="3"/>
  <c r="D20" i="2"/>
  <c r="D3" i="1"/>
  <c r="D4" i="1"/>
  <c r="D6" i="1"/>
  <c r="D5" i="1"/>
  <c r="D7" i="1"/>
  <c r="D57" i="10" l="1"/>
  <c r="J46" i="10"/>
  <c r="B46" i="10"/>
  <c r="L46" i="10" s="1"/>
  <c r="B57" i="10"/>
  <c r="D53" i="10"/>
  <c r="J42" i="10"/>
  <c r="C53" i="10"/>
  <c r="I42" i="10"/>
  <c r="K46" i="10"/>
  <c r="E19" i="10"/>
  <c r="I43" i="10"/>
  <c r="F56" i="10"/>
  <c r="L45" i="10"/>
  <c r="E57" i="10"/>
  <c r="I17" i="10"/>
  <c r="B45" i="10"/>
  <c r="I45" i="10" s="1"/>
  <c r="E17" i="10"/>
  <c r="F52" i="10"/>
  <c r="F54" i="10"/>
  <c r="E56" i="10"/>
  <c r="K45" i="10"/>
  <c r="E54" i="10"/>
  <c r="K43" i="10"/>
  <c r="J45" i="10"/>
  <c r="E16" i="10"/>
  <c r="B44" i="10"/>
  <c r="I53" i="10"/>
  <c r="B43" i="10"/>
  <c r="L43" i="10" s="1"/>
  <c r="J43" i="10"/>
  <c r="C57" i="10"/>
  <c r="E53" i="10"/>
  <c r="M34" i="4"/>
  <c r="K32" i="4"/>
  <c r="E55" i="10"/>
  <c r="E52" i="10"/>
  <c r="B56" i="10"/>
  <c r="J56" i="10" s="1"/>
  <c r="E20" i="10"/>
  <c r="D52" i="10"/>
  <c r="C56" i="10"/>
  <c r="C54" i="10"/>
  <c r="B55" i="10"/>
  <c r="F57" i="10"/>
  <c r="F55" i="10"/>
  <c r="F53" i="10"/>
  <c r="B54" i="10"/>
  <c r="J54" i="10" s="1"/>
  <c r="I19" i="10"/>
  <c r="L53" i="10"/>
  <c r="K53" i="10"/>
  <c r="J53" i="10"/>
  <c r="J33" i="5"/>
  <c r="K33" i="5"/>
  <c r="M28" i="5"/>
  <c r="M32" i="5"/>
  <c r="M27" i="5"/>
  <c r="I29" i="5"/>
  <c r="M31" i="5"/>
  <c r="I33" i="5"/>
  <c r="J28" i="5"/>
  <c r="L29" i="5"/>
  <c r="K28" i="5"/>
  <c r="I31" i="5"/>
  <c r="K32" i="5"/>
  <c r="M33" i="5"/>
  <c r="I28" i="5"/>
  <c r="I32" i="5"/>
  <c r="J32" i="5"/>
  <c r="L34" i="4"/>
  <c r="I33" i="4"/>
  <c r="I32" i="4"/>
  <c r="J33" i="4"/>
  <c r="J34" i="4" s="1"/>
  <c r="I31" i="4"/>
  <c r="J32" i="4"/>
  <c r="K33" i="4"/>
  <c r="K34" i="4" s="1"/>
  <c r="J34" i="3"/>
  <c r="I32" i="3"/>
  <c r="J33" i="3"/>
  <c r="I34" i="3"/>
  <c r="I33" i="3"/>
  <c r="J32" i="3"/>
  <c r="L34" i="3"/>
  <c r="I66" i="1"/>
  <c r="H20" i="9"/>
  <c r="H24" i="4" a="1"/>
  <c r="H24" i="4" s="1"/>
  <c r="H15" i="3" a="1"/>
  <c r="H15" i="3" s="1"/>
  <c r="H20" i="3" s="1"/>
  <c r="I3" i="10" s="1"/>
  <c r="H15" i="2" a="1"/>
  <c r="H15" i="2" s="1"/>
  <c r="I4" i="10" s="1"/>
  <c r="E18" i="10"/>
  <c r="I18" i="10"/>
  <c r="I16" i="10"/>
  <c r="E15" i="10"/>
  <c r="I15" i="10"/>
  <c r="E14" i="10"/>
  <c r="I14" i="10"/>
  <c r="E21" i="10"/>
  <c r="C11" i="1"/>
  <c r="D11" i="1"/>
  <c r="E9" i="1" s="1"/>
  <c r="D24" i="9"/>
  <c r="D14" i="8"/>
  <c r="D15" i="8"/>
  <c r="F15" i="8" s="1"/>
  <c r="D14" i="7"/>
  <c r="C21" i="6"/>
  <c r="D18" i="6"/>
  <c r="F18" i="6" s="1"/>
  <c r="F14" i="6"/>
  <c r="D17" i="6"/>
  <c r="F17" i="6" s="1"/>
  <c r="D19" i="5"/>
  <c r="D21" i="5" s="1"/>
  <c r="D15" i="4"/>
  <c r="C19" i="4"/>
  <c r="I55" i="10" l="1"/>
  <c r="K57" i="10"/>
  <c r="L54" i="10"/>
  <c r="K56" i="10"/>
  <c r="I46" i="10"/>
  <c r="I44" i="10"/>
  <c r="L44" i="10"/>
  <c r="J44" i="10"/>
  <c r="K44" i="10"/>
  <c r="L56" i="10"/>
  <c r="K55" i="10"/>
  <c r="J55" i="10"/>
  <c r="I34" i="4"/>
  <c r="I56" i="10"/>
  <c r="K54" i="10"/>
  <c r="I54" i="10"/>
  <c r="J57" i="10"/>
  <c r="L57" i="10"/>
  <c r="L55" i="10"/>
  <c r="I57" i="10"/>
  <c r="I10" i="10"/>
  <c r="E10" i="1"/>
  <c r="E3" i="1"/>
  <c r="E7" i="1"/>
  <c r="E5" i="1"/>
  <c r="E4" i="1"/>
  <c r="E6" i="1"/>
  <c r="E8" i="1"/>
  <c r="E2" i="1"/>
  <c r="D21" i="8"/>
  <c r="F21" i="8" s="1"/>
  <c r="F14" i="8"/>
  <c r="D21" i="7"/>
  <c r="F21" i="7" s="1"/>
  <c r="F14" i="7"/>
  <c r="H14" i="6" a="1"/>
  <c r="H14" i="6" s="1"/>
  <c r="D21" i="6"/>
  <c r="F21" i="6" s="1"/>
  <c r="H14" i="4" a="1"/>
  <c r="H14" i="4" s="1"/>
  <c r="K58" i="10" l="1"/>
  <c r="H19" i="8"/>
  <c r="H19" i="7"/>
  <c r="I8" i="10" s="1"/>
  <c r="H19" i="6"/>
  <c r="H14" i="5" a="1"/>
  <c r="H14" i="5" s="1"/>
  <c r="H19" i="5" s="1"/>
  <c r="I6" i="10" s="1"/>
  <c r="H19" i="4"/>
  <c r="I5" i="10" s="1"/>
  <c r="B42" i="1" l="1"/>
  <c r="E2" i="10" s="1"/>
  <c r="B13" i="10" s="1"/>
  <c r="C4" i="2"/>
  <c r="C5" i="2" s="1"/>
  <c r="C6" i="2" s="1"/>
  <c r="C7" i="2" s="1"/>
  <c r="C8" i="2" s="1"/>
  <c r="C9" i="2" s="1"/>
  <c r="C10" i="2" s="1"/>
  <c r="C3" i="2"/>
  <c r="C2" i="2"/>
  <c r="B27" i="3"/>
  <c r="B19" i="3"/>
  <c r="D17" i="3" s="1"/>
  <c r="C18" i="3"/>
  <c r="C17" i="3"/>
  <c r="D16" i="3"/>
  <c r="C16" i="3"/>
  <c r="E16" i="3" s="1"/>
  <c r="C15" i="3"/>
  <c r="B11" i="3"/>
  <c r="C20" i="2"/>
  <c r="B20" i="2"/>
  <c r="B27" i="2"/>
  <c r="B19" i="2"/>
  <c r="D17" i="2" s="1"/>
  <c r="C18" i="2"/>
  <c r="C17" i="2"/>
  <c r="E17" i="2" s="1"/>
  <c r="C16" i="2"/>
  <c r="C15" i="2"/>
  <c r="E15" i="2" s="1"/>
  <c r="B11" i="2"/>
  <c r="E19" i="1"/>
  <c r="E20" i="1"/>
  <c r="E21" i="1"/>
  <c r="E22" i="1"/>
  <c r="E23" i="1"/>
  <c r="E27" i="1"/>
  <c r="E28" i="1"/>
  <c r="E29" i="1"/>
  <c r="E30" i="1"/>
  <c r="E31" i="1"/>
  <c r="C16" i="1"/>
  <c r="E16" i="1" s="1"/>
  <c r="C17" i="1"/>
  <c r="E17" i="1" s="1"/>
  <c r="C18" i="1"/>
  <c r="E18" i="1" s="1"/>
  <c r="C19" i="1"/>
  <c r="C20" i="1"/>
  <c r="C21" i="1"/>
  <c r="C22" i="1"/>
  <c r="C23" i="1"/>
  <c r="C24" i="1"/>
  <c r="E24" i="1" s="1"/>
  <c r="C25" i="1"/>
  <c r="E25" i="1" s="1"/>
  <c r="C26" i="1"/>
  <c r="E26" i="1" s="1"/>
  <c r="C27" i="1"/>
  <c r="C28" i="1"/>
  <c r="C29" i="1"/>
  <c r="C30" i="1"/>
  <c r="C31" i="1"/>
  <c r="C32" i="1"/>
  <c r="E32" i="1" s="1"/>
  <c r="C33" i="1"/>
  <c r="E33" i="1" s="1"/>
  <c r="C34" i="1"/>
  <c r="E34" i="1" s="1"/>
  <c r="D21" i="1"/>
  <c r="D29" i="1"/>
  <c r="B35" i="1"/>
  <c r="D22" i="1" s="1"/>
  <c r="B11" i="1"/>
  <c r="E35" i="1" l="1"/>
  <c r="D26" i="1"/>
  <c r="C35" i="1"/>
  <c r="H40" i="1" s="1"/>
  <c r="B36" i="1"/>
  <c r="C36" i="1" s="1"/>
  <c r="D20" i="1"/>
  <c r="D32" i="1"/>
  <c r="D24" i="1"/>
  <c r="D16" i="1"/>
  <c r="D27" i="1"/>
  <c r="D18" i="1"/>
  <c r="D25" i="1"/>
  <c r="D31" i="1"/>
  <c r="D23" i="1"/>
  <c r="D28" i="1"/>
  <c r="D19" i="1"/>
  <c r="D34" i="1"/>
  <c r="D33" i="1"/>
  <c r="D17" i="1"/>
  <c r="D30" i="1"/>
  <c r="D18" i="3"/>
  <c r="B20" i="3"/>
  <c r="C20" i="3" s="1"/>
  <c r="C19" i="3"/>
  <c r="E17" i="3"/>
  <c r="E18" i="3"/>
  <c r="D15" i="3"/>
  <c r="D19" i="3" s="1"/>
  <c r="E15" i="3"/>
  <c r="D15" i="2"/>
  <c r="D18" i="2"/>
  <c r="E18" i="2"/>
  <c r="E16" i="2"/>
  <c r="E19" i="2" s="1"/>
  <c r="D16" i="2"/>
  <c r="D19" i="2" s="1"/>
  <c r="C19" i="2"/>
  <c r="E13" i="10" l="1"/>
  <c r="I13" i="10"/>
  <c r="K13" i="10" s="1" a="1"/>
  <c r="K13" i="10" s="1"/>
  <c r="D35" i="1"/>
  <c r="D36" i="1" s="1"/>
  <c r="H18" i="1" a="1"/>
  <c r="H18" i="1" s="1"/>
  <c r="E19" i="3"/>
  <c r="I47" i="10" l="1"/>
  <c r="I48" i="10" s="1"/>
  <c r="I49" i="10" s="1"/>
  <c r="K41" i="10"/>
  <c r="K47" i="10" s="1"/>
  <c r="J41" i="10"/>
  <c r="J47" i="10" s="1"/>
  <c r="L41" i="10"/>
  <c r="L47" i="10" s="1"/>
  <c r="I58" i="10"/>
  <c r="L52" i="10"/>
  <c r="L58" i="10" s="1"/>
  <c r="L59" i="10" s="1"/>
  <c r="K62" i="10" s="1"/>
  <c r="J52" i="10"/>
  <c r="J58" i="10" s="1"/>
  <c r="H31" i="1"/>
  <c r="I2" i="10" s="1"/>
  <c r="I59" i="10" l="1"/>
  <c r="J48" i="10"/>
  <c r="J49" i="10" s="1"/>
  <c r="J59" i="10"/>
  <c r="J62" i="10" s="1"/>
  <c r="I62" i="10"/>
  <c r="B69" i="10"/>
  <c r="B71" i="10"/>
  <c r="B73" i="10"/>
  <c r="B70" i="10"/>
  <c r="B72" i="10"/>
  <c r="K59" i="10"/>
  <c r="L62" i="10" s="1"/>
  <c r="L48" i="10"/>
  <c r="L49" i="10" s="1"/>
  <c r="K48" i="10"/>
  <c r="K49" i="10" s="1"/>
  <c r="L69" i="10" l="1"/>
  <c r="K69" i="10"/>
  <c r="J69" i="10"/>
  <c r="I69" i="10"/>
  <c r="E28" i="10"/>
  <c r="I28" i="10" s="1"/>
  <c r="L68" i="10"/>
  <c r="K68" i="10"/>
  <c r="J68" i="10"/>
  <c r="I68" i="10"/>
  <c r="I27" i="10"/>
  <c r="K27" i="10" s="1" a="1"/>
  <c r="K27" i="10" s="1"/>
  <c r="E31" i="10"/>
  <c r="I31" i="10" s="1"/>
  <c r="L72" i="10"/>
  <c r="K72" i="10"/>
  <c r="J72" i="10"/>
  <c r="I72" i="10"/>
  <c r="E29" i="10"/>
  <c r="I29" i="10" s="1"/>
  <c r="L70" i="10"/>
  <c r="K70" i="10"/>
  <c r="J70" i="10"/>
  <c r="I70" i="10"/>
  <c r="E32" i="10"/>
  <c r="I32" i="10" s="1"/>
  <c r="L73" i="10"/>
  <c r="K73" i="10"/>
  <c r="J73" i="10"/>
  <c r="I73" i="10"/>
  <c r="L71" i="10"/>
  <c r="K71" i="10"/>
  <c r="J71" i="10"/>
  <c r="I71" i="10"/>
  <c r="E30" i="10"/>
  <c r="I30" i="10" s="1"/>
  <c r="J74" i="10" l="1"/>
  <c r="J78" i="10" s="1"/>
  <c r="K74" i="10"/>
  <c r="L78" i="10" s="1"/>
  <c r="L74" i="10"/>
  <c r="K78" i="10" s="1"/>
  <c r="I74" i="10"/>
  <c r="I78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<sst xmlns="http://schemas.openxmlformats.org/spreadsheetml/2006/main" count="521" uniqueCount="212">
  <si>
    <t>Proteina</t>
  </si>
  <si>
    <t>RNA</t>
  </si>
  <si>
    <t>DNA</t>
  </si>
  <si>
    <t>Lipidos</t>
  </si>
  <si>
    <t>Lipopolisacaridos</t>
  </si>
  <si>
    <t>Peptidoglicanos</t>
  </si>
  <si>
    <t>Glucogeno</t>
  </si>
  <si>
    <t>Poliaminas</t>
  </si>
  <si>
    <t>Cofactores, iones, metabolitos</t>
  </si>
  <si>
    <t>%</t>
  </si>
  <si>
    <t>Composición de E.Coli %</t>
  </si>
  <si>
    <t>Alanina</t>
  </si>
  <si>
    <t>Glutamato</t>
  </si>
  <si>
    <t>umol/gDW</t>
  </si>
  <si>
    <t>Total</t>
  </si>
  <si>
    <t>% molar</t>
  </si>
  <si>
    <t>mmol/gDW</t>
  </si>
  <si>
    <t>Requerimientos Energeticos proteina</t>
  </si>
  <si>
    <t>Activacion e incorporacion</t>
  </si>
  <si>
    <t>mRNA sintesis</t>
  </si>
  <si>
    <t>Ensamble y modificacion</t>
  </si>
  <si>
    <t>Correccion de errores (proofreading)</t>
  </si>
  <si>
    <t>umolATP/umol aminoacid</t>
  </si>
  <si>
    <t>ATP mmol</t>
  </si>
  <si>
    <t>DNTP</t>
  </si>
  <si>
    <t>umolATP/umol Nucleotido</t>
  </si>
  <si>
    <t>Proofreading</t>
  </si>
  <si>
    <t>Sintesis discontinua</t>
  </si>
  <si>
    <t>Supercoiling</t>
  </si>
  <si>
    <t>Metilaciones</t>
  </si>
  <si>
    <t>Apertura de helice</t>
  </si>
  <si>
    <t>dNTP</t>
  </si>
  <si>
    <t>NTP</t>
  </si>
  <si>
    <t>DNA_biomass</t>
  </si>
  <si>
    <t>Acumulado</t>
  </si>
  <si>
    <t>AM</t>
  </si>
  <si>
    <t>%gDW</t>
  </si>
  <si>
    <t>Peso molecular</t>
  </si>
  <si>
    <t>Peso</t>
  </si>
  <si>
    <t>LIP</t>
  </si>
  <si>
    <t>Acidos grados</t>
  </si>
  <si>
    <t>LPS</t>
  </si>
  <si>
    <t>Acetilglucosamina</t>
  </si>
  <si>
    <t>Acido acetil muramico</t>
  </si>
  <si>
    <t>Diaminopemilato</t>
  </si>
  <si>
    <t>PG</t>
  </si>
  <si>
    <t>CarboH</t>
  </si>
  <si>
    <t>Residuos Glucosil</t>
  </si>
  <si>
    <t>CARBOH</t>
  </si>
  <si>
    <t>Putrescina</t>
  </si>
  <si>
    <t>Espermidina</t>
  </si>
  <si>
    <t>POLIAM</t>
  </si>
  <si>
    <t>OM</t>
  </si>
  <si>
    <t>Coeficiente</t>
  </si>
  <si>
    <t>ATP otros procesos</t>
  </si>
  <si>
    <t>Macromolecula</t>
  </si>
  <si>
    <t>Bloque</t>
  </si>
  <si>
    <t>PM biomass</t>
  </si>
  <si>
    <t>damp_c</t>
  </si>
  <si>
    <t>dgmp_c</t>
  </si>
  <si>
    <t>dcmp_c</t>
  </si>
  <si>
    <t>dtmp_c</t>
  </si>
  <si>
    <t>amp_c</t>
  </si>
  <si>
    <t>gmp_c</t>
  </si>
  <si>
    <t>cmp_c</t>
  </si>
  <si>
    <t>ump_c</t>
  </si>
  <si>
    <t>nmp_c</t>
  </si>
  <si>
    <t>ala__L_c</t>
  </si>
  <si>
    <t>am__L_c</t>
  </si>
  <si>
    <t>arg__L_c</t>
  </si>
  <si>
    <t>asn__L_c</t>
  </si>
  <si>
    <t>asp__L_c</t>
  </si>
  <si>
    <t>cys__L_c</t>
  </si>
  <si>
    <t>glu__L_c</t>
  </si>
  <si>
    <t>gln__L_c</t>
  </si>
  <si>
    <t>gly__L_c</t>
  </si>
  <si>
    <t>his__L_c</t>
  </si>
  <si>
    <t>ileu__L_c</t>
  </si>
  <si>
    <t>leu__L_c</t>
  </si>
  <si>
    <t>lys__L_c</t>
  </si>
  <si>
    <t>met__L_c</t>
  </si>
  <si>
    <t>phen__L_c</t>
  </si>
  <si>
    <t>pro__L_c</t>
  </si>
  <si>
    <t>ser__L_c</t>
  </si>
  <si>
    <t>thr__L_c</t>
  </si>
  <si>
    <t>tryp__L_c</t>
  </si>
  <si>
    <t>tyr__L_c</t>
  </si>
  <si>
    <t>val__L_c</t>
  </si>
  <si>
    <t>ole__a_c</t>
  </si>
  <si>
    <t>pal__a_c</t>
  </si>
  <si>
    <t>gly_c</t>
  </si>
  <si>
    <t>etn_c</t>
  </si>
  <si>
    <t>oa_C</t>
  </si>
  <si>
    <t>lip_c</t>
  </si>
  <si>
    <t>lip_biomass</t>
  </si>
  <si>
    <t>rha_c</t>
  </si>
  <si>
    <t>mir__a_c</t>
  </si>
  <si>
    <t>g6p_c</t>
  </si>
  <si>
    <t>glun6p_c</t>
  </si>
  <si>
    <t>h7p_c</t>
  </si>
  <si>
    <t>kdo8p_c</t>
  </si>
  <si>
    <t>lps_c</t>
  </si>
  <si>
    <t>thf_c</t>
  </si>
  <si>
    <t>nad_c</t>
  </si>
  <si>
    <t>nadh_c</t>
  </si>
  <si>
    <t>nadp_c</t>
  </si>
  <si>
    <t>nadph_c</t>
  </si>
  <si>
    <t>udp_c</t>
  </si>
  <si>
    <t>atp_c</t>
  </si>
  <si>
    <t>adp_c</t>
  </si>
  <si>
    <t>om_c</t>
  </si>
  <si>
    <t>mmoles/ gDW</t>
  </si>
  <si>
    <t>prot</t>
  </si>
  <si>
    <t>rna</t>
  </si>
  <si>
    <t>dna</t>
  </si>
  <si>
    <t>lip</t>
  </si>
  <si>
    <t>lps</t>
  </si>
  <si>
    <t>ch</t>
  </si>
  <si>
    <t>om</t>
  </si>
  <si>
    <t>C</t>
  </si>
  <si>
    <t>H</t>
  </si>
  <si>
    <t>O</t>
  </si>
  <si>
    <t>N</t>
  </si>
  <si>
    <t>P</t>
  </si>
  <si>
    <t>S</t>
  </si>
  <si>
    <r>
      <t>C</t>
    </r>
    <r>
      <rPr>
        <sz val="7.5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sz val="7.5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sz val="7.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O6P</t>
    </r>
  </si>
  <si>
    <t>C10H15N2O8P</t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</si>
  <si>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O7P</t>
    </r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</si>
  <si>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O7P</t>
    </r>
  </si>
  <si>
    <t>C9H13N2O9P</t>
  </si>
  <si>
    <r>
      <t>C</t>
    </r>
    <r>
      <rPr>
        <sz val="7.5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sz val="7.5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sz val="7.5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O7P</t>
    </r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</si>
  <si>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O8p</t>
    </r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</si>
  <si>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O8P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</si>
  <si>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</si>
  <si>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</si>
  <si>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P</t>
    </r>
  </si>
  <si>
    <t>C2H7NO</t>
  </si>
  <si>
    <t>C6H12O5</t>
  </si>
  <si>
    <t>C6H13NO5</t>
  </si>
  <si>
    <t>C7H15O10P</t>
  </si>
  <si>
    <t xml:space="preserve"> 	
C8H14O8</t>
  </si>
  <si>
    <t>C14H28O2</t>
  </si>
  <si>
    <t>GLU</t>
  </si>
  <si>
    <t>pyr_c + glu__L_c &lt;=&gt; ala__L_c + akg_c</t>
  </si>
  <si>
    <t>2 glu__L_c + accoa_c + 4 atp_c + nadph_c + h_c + carp_c + asp__L_c &lt;=&gt; arg__L_c + coa_c + akg_c + ac_c + 4 adp_c + fum_c + nadp_c</t>
  </si>
  <si>
    <t>asp__L_c + nh4_c + 2 atp_c &lt;=&gt; asn__L_c + 2 adp_c</t>
  </si>
  <si>
    <t>oaa_c + glu__L_c &lt;=&gt; asp__L_c + akg_c</t>
  </si>
  <si>
    <t>ser__L_c + accoa_c + 4 nadph_c + 4 h_c + atp_c &lt;=&gt; cys__L_c + ac_c + coa_c + 4 nadp_c + adp_c</t>
  </si>
  <si>
    <t>atp_c + glu__L_c + nh4_c &lt;=&gt; adp_c + gln__L_c + pi_c</t>
  </si>
  <si>
    <t>ser__L_c + thf_c &lt;=&gt; gly__L_c + methf_c</t>
  </si>
  <si>
    <t>prpp_c + 3 atp_c + nh4_c + gln__L_c + 2 nad_c + 2 nadph_c + co2_c &lt;=&gt; his__L_c + 3 adp_c + 2 nadh_c + 2 nadp_c + akg_c</t>
  </si>
  <si>
    <t>thr__L_c + pyr_c + nadph_c + h_c + glu__L_c &lt;=&gt; ileu__L_c + nh4_c + nadp_c + co2_c + akg_c</t>
  </si>
  <si>
    <t>aki_c + accoa_c + glu__L_c + nad_c + atp_c &lt;=&gt; leu__L_c + akg_c + coa_c + co2_c + nadh_c + h_c + adp_c</t>
  </si>
  <si>
    <t>2 glu__L_c + accoa_c + 3 atp_c + 2 nadph_c + 2 nad_c &lt;=&gt; lys__L_c + coa_c + akg_c + co2_c + 3 adp_c + 2 nadp_c + 2 nadh_c</t>
  </si>
  <si>
    <t>hom_c + succoa_c + cys__L_c + mythf_c + atp_c &lt;=&gt; met__L_c + coa_c + succ_c + pyr_c + nh4_c + adp_c + thf_c</t>
  </si>
  <si>
    <t>cho_c + glu__L_c &lt;=&gt; phen__L_c + akg_c + co2_c</t>
  </si>
  <si>
    <t xml:space="preserve">glu__L_c + atp_c + 2 nadph_c  + 2 h_c &lt;=&gt; pro__L_c + adp_c + 2 nadp_c + pi_c </t>
  </si>
  <si>
    <t>3pg_c + glu__L_c + nad_c &lt;=&gt; ser__L_c + akg_c + nadh_c + h_c</t>
  </si>
  <si>
    <t>hom_c + atp_c &lt;=&gt; thr__L_c + adp_c</t>
  </si>
  <si>
    <t>cho_c + gln__L_c + prpp_c + ser__L_c &lt;=&gt; tryp__L_c + co2_c + g3p_c + glu__L_c + pyr_c</t>
  </si>
  <si>
    <t>cho_c + glu__L_c + nad_c &lt;=&gt; tyr__L_c + akg_c + co2_c + nadh_c + h_c</t>
  </si>
  <si>
    <t>aki_c + glu__L_c &lt;=&gt; val__L_c + akg_c</t>
  </si>
  <si>
    <t>glu__L_c + h2o_c + nadp_c &lt;=&gt; akg_c + h_c + nadph_c + nh4_c</t>
  </si>
  <si>
    <t>Biomass Formula</t>
  </si>
  <si>
    <t>C mol Formula</t>
  </si>
  <si>
    <t>mmol/cmolX</t>
  </si>
  <si>
    <t>% (g/gDW)</t>
  </si>
  <si>
    <t>TOTAL</t>
  </si>
  <si>
    <t>0.096 ala__L_c + 0.055 arg__L_c + 0.045 asn__L_c + 0.045 asp__L_c + 0.017 cys__L_c + 0.049 glu__L_c + 0.049 gln__L_c + 0.115 gly__L_c + 0.018 his__L_c + 0.054 ileu__L_c + 0.084 leu__L_c + 0.064 lys__L_c + 0.029 met__L_c + 0.035 phen__L_c + 0.041 pro__L_c + 0.040 ser__L_c + 0.047 thr__L_c + 0.011 tryp__L_c + 0.026 tyr__L_c + 0.079 val__L_c +  --&gt; 1.000 am__L_c</t>
  </si>
  <si>
    <t>0.262 amp_c + 0.322 gmp_c + 0.200 cmp_c + 0.216 ump_c +  --&gt; 1.000 nmp_c</t>
  </si>
  <si>
    <t>0.398 damp_c + 0.229 dgmp_c + 0.187 dcmp_c + 0.187 dtmp_c +  --&gt; 1 dnmp_c</t>
  </si>
  <si>
    <t>0.312 gly_c + 0.188 etn_c + 0.760 oa_C +  --&gt; 1.000 lip_c</t>
  </si>
  <si>
    <t>0.100 g6p_c + 0.100 glun6p_c + 0.150 etn_c + 0.050 rha_c + 0.150 h7p_c + 0.150 kdo8p_c + 0.300 mir__a_c +  --&gt; 1.000 lps_c</t>
  </si>
  <si>
    <t>1,000 Residuos Glucosil +  --&gt; 1,000 CARBOH</t>
  </si>
  <si>
    <t>1 AM + 4.306 ATP --&gt; 1 prot_biomass</t>
  </si>
  <si>
    <t>1 NTP + 1.372 ATP --&gt; 1 rna_biomass</t>
  </si>
  <si>
    <t>1 dNTP + 0.4 ATP --&gt; 1 dna_biomass</t>
  </si>
  <si>
    <t>1 LIP + 0 ATP --&gt; 1 lip_biomass</t>
  </si>
  <si>
    <t>1 LPS + 0 ATP --&gt; 1 lps_biomass</t>
  </si>
  <si>
    <t>1 PG + 0 ATP --&gt; 1 PG_biomass</t>
  </si>
  <si>
    <t>1 CARBOH + 0 ATP --&gt; 1 ch_biomass</t>
  </si>
  <si>
    <t>1 POLIAM + 0 ATP --&gt; 1 POLIAM_biomass</t>
  </si>
  <si>
    <t>1 OM + 0 ATP --&gt; 1 om_biomass</t>
  </si>
  <si>
    <t>Building block</t>
  </si>
  <si>
    <t>Reacción  de bloque</t>
  </si>
  <si>
    <t>Inclusión en la biomasa</t>
  </si>
  <si>
    <t>mol/cmolX</t>
  </si>
  <si>
    <t>NMP</t>
  </si>
  <si>
    <t>dNMP</t>
  </si>
  <si>
    <t>1 AM + 4.306 ATP --&gt; 1 prot_x</t>
  </si>
  <si>
    <t>1 NMP + 1.372 ATP --&gt; 1 rna_x</t>
  </si>
  <si>
    <t>1 dNTP + 0.4 ATP --&gt; 1 dna_x</t>
  </si>
  <si>
    <t>1 LIP + 0 ATP --&gt; 1 lip_x</t>
  </si>
  <si>
    <t>1 LPS + 0 ATP --&gt; 1 lps_x</t>
  </si>
  <si>
    <t>1 CARBOH + 0 ATP --&gt; 1 ch_x</t>
  </si>
  <si>
    <t xml:space="preserve">ATP </t>
  </si>
  <si>
    <t>Macromolécula</t>
  </si>
  <si>
    <t>Proteína</t>
  </si>
  <si>
    <t>Lípidos</t>
  </si>
  <si>
    <t>Lipopolisacáridos</t>
  </si>
  <si>
    <t>Glucógeno</t>
  </si>
  <si>
    <t>Formula genérica</t>
  </si>
  <si>
    <r>
      <t xml:space="preserve">C </t>
    </r>
    <r>
      <rPr>
        <sz val="11"/>
        <color theme="1"/>
        <rFont val="Calibri"/>
        <family val="2"/>
        <scheme val="minor"/>
      </rPr>
      <t>4.79 H 9.67 N 1.37 O 2.40</t>
    </r>
  </si>
  <si>
    <t>C 9.80 H 13.57 N 3.95 O 7.95</t>
  </si>
  <si>
    <t>C 9.81 H 13.73 N 4.07 O 6.79</t>
  </si>
  <si>
    <t>C 13.84 H 28.50 N 0.19 O 2.64</t>
  </si>
  <si>
    <t>C 8.25 H 16.90 N 0.25 O 4.80</t>
  </si>
  <si>
    <t>C 6.00 H 12.00 N 0.00 O 6.00</t>
  </si>
  <si>
    <t>C 1.00 H 1.80 N 0.28 O 0.56</t>
  </si>
  <si>
    <t>Coeficiente (mol/CmolX)</t>
  </si>
  <si>
    <t>Formula Generica</t>
  </si>
  <si>
    <t>Cmol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</si>
</sst>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000"/>
    <numFmt numFmtId="166" formatCode="_-* #,##0.00000_-;\-* #,##0.00000_-;_-* &quot;-&quot;??_-;_-@_-"/>
    <numFmt numFmtId="167" formatCode="0.00000"/>
    <numFmt numFmtId="168" formatCode="0.000E+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9" fontId="0" fillId="0" borderId="0" xfId="0" applyNumberFormat="1"/>
    <xf numFmtId="10" fontId="0" fillId="0" borderId="0" xfId="0" applyNumberFormat="1"/>
    <xf numFmtId="9" fontId="0" fillId="0" borderId="0" xfId="2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0" fontId="0" fillId="0" borderId="0" xfId="2" applyNumberFormat="1" applyFont="1"/>
    <xf numFmtId="43" fontId="0" fillId="0" borderId="0" xfId="1" applyFont="1"/>
    <xf numFmtId="165" fontId="0" fillId="0" borderId="0" xfId="0" applyNumberFormat="1"/>
    <xf numFmtId="0" fontId="0" fillId="0" borderId="0" xfId="0" applyBorder="1"/>
    <xf numFmtId="0" fontId="0" fillId="0" borderId="0" xfId="0" applyBorder="1" applyAlignment="1"/>
    <xf numFmtId="166" fontId="0" fillId="0" borderId="0" xfId="1" applyNumberFormat="1" applyFont="1"/>
    <xf numFmtId="167" fontId="0" fillId="0" borderId="0" xfId="1" applyNumberFormat="1" applyFont="1"/>
    <xf numFmtId="2" fontId="0" fillId="0" borderId="0" xfId="0" applyNumberFormat="1"/>
    <xf numFmtId="11" fontId="0" fillId="0" borderId="0" xfId="0" applyNumberFormat="1"/>
    <xf numFmtId="168" fontId="0" fillId="0" borderId="0" xfId="0" applyNumberFormat="1"/>
    <xf numFmtId="0" fontId="4" fillId="0" borderId="0" xfId="0" applyFont="1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</xdr:row>
      <xdr:rowOff>449580</xdr:rowOff>
    </xdr:from>
    <xdr:ext cx="12318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CBF2D20-3910-4DC6-A83C-64496FA4A562}"/>
                </a:ext>
              </a:extLst>
            </xdr:cNvPr>
            <xdr:cNvSpPr txBox="1"/>
          </xdr:nvSpPr>
          <xdr:spPr>
            <a:xfrm>
              <a:off x="2614974" y="817442"/>
              <a:ext cx="12318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4.79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9.67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1.37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2.40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CBF2D20-3910-4DC6-A83C-64496FA4A562}"/>
                </a:ext>
              </a:extLst>
            </xdr:cNvPr>
            <xdr:cNvSpPr txBox="1"/>
          </xdr:nvSpPr>
          <xdr:spPr>
            <a:xfrm>
              <a:off x="2614974" y="817442"/>
              <a:ext cx="12318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𝐶_4.79 </a:t>
              </a:r>
              <a:r>
                <a:rPr lang="es-CO" sz="1100" b="0" i="0">
                  <a:latin typeface="Cambria Math" panose="02040503050406030204" pitchFamily="18" charset="0"/>
                </a:rPr>
                <a:t>𝐻_</a:t>
              </a:r>
              <a:r>
                <a:rPr lang="es-CO" sz="1100" i="0">
                  <a:latin typeface="Cambria Math" panose="02040503050406030204" pitchFamily="18" charset="0"/>
                </a:rPr>
                <a:t>9.67 𝑁_1.37 𝑂_2.40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121920</xdr:colOff>
      <xdr:row>2</xdr:row>
      <xdr:rowOff>556260</xdr:rowOff>
    </xdr:from>
    <xdr:ext cx="128855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00DD290-8483-4643-81CD-45030FB08D44}"/>
                </a:ext>
              </a:extLst>
            </xdr:cNvPr>
            <xdr:cNvSpPr txBox="1"/>
          </xdr:nvSpPr>
          <xdr:spPr>
            <a:xfrm>
              <a:off x="2675934" y="2222150"/>
              <a:ext cx="1288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9.80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13.57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3.95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7.95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00DD290-8483-4643-81CD-45030FB08D44}"/>
                </a:ext>
              </a:extLst>
            </xdr:cNvPr>
            <xdr:cNvSpPr txBox="1"/>
          </xdr:nvSpPr>
          <xdr:spPr>
            <a:xfrm>
              <a:off x="2675934" y="2222150"/>
              <a:ext cx="1288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𝐶_9.80 </a:t>
              </a:r>
              <a:r>
                <a:rPr lang="es-CO" sz="1100" b="0" i="0">
                  <a:latin typeface="Cambria Math" panose="02040503050406030204" pitchFamily="18" charset="0"/>
                </a:rPr>
                <a:t>𝐻_</a:t>
              </a:r>
              <a:r>
                <a:rPr lang="es-CO" sz="1100" i="0">
                  <a:latin typeface="Cambria Math" panose="02040503050406030204" pitchFamily="18" charset="0"/>
                </a:rPr>
                <a:t>13.57 𝑁_3.95 𝑂_7.95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53340</xdr:colOff>
      <xdr:row>3</xdr:row>
      <xdr:rowOff>579120</xdr:rowOff>
    </xdr:from>
    <xdr:ext cx="12913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E8935E5-1C41-4C40-B293-C3713F08E6AD}"/>
                </a:ext>
              </a:extLst>
            </xdr:cNvPr>
            <xdr:cNvSpPr txBox="1"/>
          </xdr:nvSpPr>
          <xdr:spPr>
            <a:xfrm>
              <a:off x="2607354" y="3543037"/>
              <a:ext cx="12913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9.81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13.73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4.07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6.79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E8935E5-1C41-4C40-B293-C3713F08E6AD}"/>
                </a:ext>
              </a:extLst>
            </xdr:cNvPr>
            <xdr:cNvSpPr txBox="1"/>
          </xdr:nvSpPr>
          <xdr:spPr>
            <a:xfrm>
              <a:off x="2607354" y="3543037"/>
              <a:ext cx="12913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𝐶_9.81 </a:t>
              </a:r>
              <a:r>
                <a:rPr lang="es-CO" sz="1100" b="0" i="0">
                  <a:latin typeface="Cambria Math" panose="02040503050406030204" pitchFamily="18" charset="0"/>
                </a:rPr>
                <a:t>𝐻_</a:t>
              </a:r>
              <a:r>
                <a:rPr lang="es-CO" sz="1100" i="0">
                  <a:latin typeface="Cambria Math" panose="02040503050406030204" pitchFamily="18" charset="0"/>
                </a:rPr>
                <a:t>13.73 𝑁_4.07 𝑂_6.79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45720</xdr:colOff>
      <xdr:row>4</xdr:row>
      <xdr:rowOff>548640</xdr:rowOff>
    </xdr:from>
    <xdr:ext cx="13537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44088D7-DA9E-402E-A60C-E4BF796358C7}"/>
                </a:ext>
              </a:extLst>
            </xdr:cNvPr>
            <xdr:cNvSpPr txBox="1"/>
          </xdr:nvSpPr>
          <xdr:spPr>
            <a:xfrm>
              <a:off x="2599734" y="4810585"/>
              <a:ext cx="13537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13.84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28.50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0.19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2.64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44088D7-DA9E-402E-A60C-E4BF796358C7}"/>
                </a:ext>
              </a:extLst>
            </xdr:cNvPr>
            <xdr:cNvSpPr txBox="1"/>
          </xdr:nvSpPr>
          <xdr:spPr>
            <a:xfrm>
              <a:off x="2599734" y="4810585"/>
              <a:ext cx="13537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𝐶_13.84 </a:t>
              </a:r>
              <a:r>
                <a:rPr lang="es-CO" sz="1100" b="0" i="0">
                  <a:latin typeface="Cambria Math" panose="02040503050406030204" pitchFamily="18" charset="0"/>
                </a:rPr>
                <a:t>𝐻_</a:t>
              </a:r>
              <a:r>
                <a:rPr lang="es-CO" sz="1100" i="0">
                  <a:latin typeface="Cambria Math" panose="02040503050406030204" pitchFamily="18" charset="0"/>
                </a:rPr>
                <a:t>28.50 𝑁_0.19 𝑂_2.64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76200</xdr:colOff>
      <xdr:row>5</xdr:row>
      <xdr:rowOff>510540</xdr:rowOff>
    </xdr:from>
    <xdr:ext cx="12881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10E7837E-0860-4FFD-8D36-1333E789521B}"/>
                </a:ext>
              </a:extLst>
            </xdr:cNvPr>
            <xdr:cNvSpPr txBox="1"/>
          </xdr:nvSpPr>
          <xdr:spPr>
            <a:xfrm>
              <a:off x="2630214" y="6070512"/>
              <a:ext cx="12881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8.25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16.90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0.25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4.80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10E7837E-0860-4FFD-8D36-1333E789521B}"/>
                </a:ext>
              </a:extLst>
            </xdr:cNvPr>
            <xdr:cNvSpPr txBox="1"/>
          </xdr:nvSpPr>
          <xdr:spPr>
            <a:xfrm>
              <a:off x="2630214" y="6070512"/>
              <a:ext cx="12881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𝐶_8.25 </a:t>
              </a:r>
              <a:r>
                <a:rPr lang="es-CO" sz="1100" b="0" i="0">
                  <a:latin typeface="Cambria Math" panose="02040503050406030204" pitchFamily="18" charset="0"/>
                </a:rPr>
                <a:t>𝐻_</a:t>
              </a:r>
              <a:r>
                <a:rPr lang="es-CO" sz="1100" i="0">
                  <a:latin typeface="Cambria Math" panose="02040503050406030204" pitchFamily="18" charset="0"/>
                </a:rPr>
                <a:t>16.90 𝑁_0.25 𝑂_4.80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44669</xdr:colOff>
      <xdr:row>6</xdr:row>
      <xdr:rowOff>479534</xdr:rowOff>
    </xdr:from>
    <xdr:ext cx="138582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942210D-CAA9-4ED9-811E-955D7FA05E00}"/>
                </a:ext>
              </a:extLst>
            </xdr:cNvPr>
            <xdr:cNvSpPr txBox="1"/>
          </xdr:nvSpPr>
          <xdr:spPr>
            <a:xfrm>
              <a:off x="2598683" y="7337534"/>
              <a:ext cx="138582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6.00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12.00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0.00</m:t>
                        </m:r>
                      </m:sub>
                    </m:sSub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6.00</m:t>
                        </m:r>
                      </m:sub>
                    </m:sSub>
                  </m:oMath>
                </m:oMathPara>
              </a14:m>
              <a:endParaRPr lang="es-CO" sz="1100"/>
            </a:p>
            <a:p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942210D-CAA9-4ED9-811E-955D7FA05E00}"/>
                </a:ext>
              </a:extLst>
            </xdr:cNvPr>
            <xdr:cNvSpPr txBox="1"/>
          </xdr:nvSpPr>
          <xdr:spPr>
            <a:xfrm>
              <a:off x="2598683" y="7337534"/>
              <a:ext cx="138582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𝐶_6.00 </a:t>
              </a:r>
              <a:r>
                <a:rPr lang="es-CO" sz="1100" b="0" i="0">
                  <a:latin typeface="Cambria Math" panose="02040503050406030204" pitchFamily="18" charset="0"/>
                </a:rPr>
                <a:t>𝐻_</a:t>
              </a:r>
              <a:r>
                <a:rPr lang="es-CO" sz="1100" i="0">
                  <a:latin typeface="Cambria Math" panose="02040503050406030204" pitchFamily="18" charset="0"/>
                </a:rPr>
                <a:t>12.00 𝑁_0.00 𝑂_6.00</a:t>
              </a:r>
              <a:endParaRPr lang="es-CO" sz="1100"/>
            </a:p>
            <a:p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670-E007-4EF5-9AFE-D17901040AF0}">
  <dimension ref="A1:P83"/>
  <sheetViews>
    <sheetView topLeftCell="A61" workbookViewId="0">
      <selection activeCell="C74" sqref="C74:F74"/>
    </sheetView>
  </sheetViews>
  <sheetFormatPr baseColWidth="10" defaultRowHeight="14.4" x14ac:dyDescent="0.3"/>
  <sheetData>
    <row r="1" spans="1:16" x14ac:dyDescent="0.3">
      <c r="A1" t="s">
        <v>55</v>
      </c>
      <c r="B1" t="s">
        <v>166</v>
      </c>
      <c r="C1" s="17" t="s">
        <v>183</v>
      </c>
      <c r="D1" t="s">
        <v>53</v>
      </c>
      <c r="E1" t="s">
        <v>54</v>
      </c>
      <c r="F1" t="s">
        <v>111</v>
      </c>
      <c r="G1" t="s">
        <v>165</v>
      </c>
      <c r="H1" t="s">
        <v>55</v>
      </c>
    </row>
    <row r="2" spans="1:16" x14ac:dyDescent="0.3">
      <c r="A2" t="s">
        <v>0</v>
      </c>
      <c r="B2" s="1">
        <v>0.55000000000000004</v>
      </c>
      <c r="C2" t="s">
        <v>35</v>
      </c>
      <c r="D2">
        <v>1</v>
      </c>
      <c r="E2">
        <f>+Proteina!B42</f>
        <v>4.306</v>
      </c>
      <c r="F2">
        <f>+Proteina!C36</f>
        <v>5.0810000000000004</v>
      </c>
      <c r="G2">
        <f>+F2*$B$24/1000</f>
        <v>0.13579480599999999</v>
      </c>
      <c r="H2" t="s">
        <v>112</v>
      </c>
      <c r="I2" t="str">
        <f>+Proteina!H31</f>
        <v>0.096 ala__L_c + 0.055 arg__L_c + 0.045 asn__L_c + 0.045 asp__L_c + 0.017 cys__L_c + 0.049 glu__L_c + 0.049 gln__L_c + 0.115 gly__L_c + 0.018 his__L_c + 0.054 ileu__L_c + 0.084 leu__L_c + 0.064 lys__L_c + 0.029 met__L_c + 0.035 phen__L_c + 0.041 pro__L_c + 0.040 ser__L_c + 0.047 thr__L_c + 0.011 tryp__L_c + 0.026 tyr__L_c + 0.079 val__L_c +  --&gt; 1.000 am__L_c</v>
      </c>
    </row>
    <row r="3" spans="1:16" x14ac:dyDescent="0.3">
      <c r="A3" t="s">
        <v>1</v>
      </c>
      <c r="B3" s="2">
        <v>0.20499999999999999</v>
      </c>
      <c r="C3" t="s">
        <v>32</v>
      </c>
      <c r="D3">
        <v>1</v>
      </c>
      <c r="E3">
        <f>+DNA!B27</f>
        <v>1.3719999999999997</v>
      </c>
      <c r="F3">
        <f>+DNA!C20</f>
        <v>1.2270000000000001</v>
      </c>
      <c r="G3">
        <f t="shared" ref="G3:G10" si="0">+F3*$B$24/1000</f>
        <v>3.2792802000000003E-2</v>
      </c>
      <c r="H3" t="s">
        <v>113</v>
      </c>
      <c r="I3" t="str">
        <f>+RNA!H20</f>
        <v>0.262 amp_c + 0.322 gmp_c + 0.200 cmp_c + 0.216 ump_c +  --&gt; 1.000 nmp_c</v>
      </c>
    </row>
    <row r="4" spans="1:16" x14ac:dyDescent="0.3">
      <c r="A4" t="s">
        <v>2</v>
      </c>
      <c r="B4" s="2">
        <v>3.1E-2</v>
      </c>
      <c r="C4" t="s">
        <v>31</v>
      </c>
      <c r="D4">
        <v>1</v>
      </c>
      <c r="E4">
        <f>+RNA!B27</f>
        <v>0.4</v>
      </c>
      <c r="F4">
        <f>+RNA!C19</f>
        <v>0.63</v>
      </c>
      <c r="G4">
        <f t="shared" si="0"/>
        <v>1.6837379999999999E-2</v>
      </c>
      <c r="H4" t="s">
        <v>114</v>
      </c>
      <c r="I4" t="str">
        <f>+DNA!H20</f>
        <v>0.398 damp_c + 0.229 dgmp_c + 0.187 dcmp_c + 0.187 dtmp_c +  --&gt; 1 dnmp_c</v>
      </c>
    </row>
    <row r="5" spans="1:16" x14ac:dyDescent="0.3">
      <c r="A5" t="s">
        <v>3</v>
      </c>
      <c r="B5" s="2">
        <v>9.0999999999999998E-2</v>
      </c>
      <c r="C5" t="s">
        <v>39</v>
      </c>
      <c r="D5">
        <v>1</v>
      </c>
      <c r="E5">
        <v>0</v>
      </c>
      <c r="F5">
        <f>+Lipidos!C19</f>
        <v>0.51600000000000001</v>
      </c>
      <c r="G5">
        <f t="shared" si="0"/>
        <v>1.3790616E-2</v>
      </c>
      <c r="H5" t="s">
        <v>115</v>
      </c>
      <c r="I5" t="str">
        <f>+Lipidos!H19</f>
        <v>0.312 gly_c + 0.188 etn_c + 0.760 oa_C +  --&gt; 1.000 lip_c</v>
      </c>
    </row>
    <row r="6" spans="1:16" x14ac:dyDescent="0.3">
      <c r="A6" t="s">
        <v>4</v>
      </c>
      <c r="B6" s="2">
        <v>3.4000000000000002E-2</v>
      </c>
      <c r="C6" t="s">
        <v>41</v>
      </c>
      <c r="D6">
        <v>1</v>
      </c>
      <c r="E6">
        <v>0</v>
      </c>
      <c r="F6">
        <f>+Lipopolisacaridos!C21</f>
        <v>0.16800000000000001</v>
      </c>
      <c r="G6">
        <f t="shared" si="0"/>
        <v>4.4899680000000004E-3</v>
      </c>
      <c r="H6" t="s">
        <v>116</v>
      </c>
      <c r="I6" t="str">
        <f>+Lipopolisacaridos!H19</f>
        <v>0.100 g6p_c + 0.100 glun6p_c + 0.150 etn_c + 0.050 rha_c + 0.150 h7p_c + 0.150 kdo8p_c + 0.300 mir__a_c +  --&gt; 1.000 lps_c</v>
      </c>
    </row>
    <row r="7" spans="1:16" x14ac:dyDescent="0.3">
      <c r="A7" t="s">
        <v>5</v>
      </c>
      <c r="B7" s="2">
        <v>2.5000000000000001E-2</v>
      </c>
      <c r="C7" t="s">
        <v>45</v>
      </c>
      <c r="D7">
        <v>1</v>
      </c>
      <c r="E7">
        <v>0</v>
      </c>
      <c r="F7">
        <f>+PG!C21</f>
        <v>9.240000000000001E-2</v>
      </c>
      <c r="G7">
        <f t="shared" si="0"/>
        <v>2.4694824E-3</v>
      </c>
      <c r="H7" t="s">
        <v>45</v>
      </c>
      <c r="I7" t="str">
        <f>+PG!H19</f>
        <v>0,182 Acetilglucosamina + 0,182 Acido acetil muramico + 0,273 Alanina + 0,091 Diaminopemilato + 0,273 Glutamato +  +  +  --&gt; 1,000 PG</v>
      </c>
    </row>
    <row r="8" spans="1:16" x14ac:dyDescent="0.3">
      <c r="A8" t="s">
        <v>6</v>
      </c>
      <c r="B8" s="2">
        <v>2.5000000000000001E-2</v>
      </c>
      <c r="C8" t="s">
        <v>48</v>
      </c>
      <c r="D8">
        <v>1</v>
      </c>
      <c r="E8">
        <v>0</v>
      </c>
      <c r="F8">
        <f>+CarboH!C21</f>
        <v>0.154</v>
      </c>
      <c r="G8">
        <f t="shared" si="0"/>
        <v>4.1158039999999998E-3</v>
      </c>
      <c r="H8" t="s">
        <v>117</v>
      </c>
      <c r="I8" t="str">
        <f>+CarboH!H19</f>
        <v>1,000 Residuos Glucosil +  --&gt; 1,000 CARBOH</v>
      </c>
    </row>
    <row r="9" spans="1:16" x14ac:dyDescent="0.3">
      <c r="A9" t="s">
        <v>7</v>
      </c>
      <c r="B9" s="2">
        <v>4.0000000000000001E-3</v>
      </c>
      <c r="C9" t="s">
        <v>51</v>
      </c>
      <c r="D9">
        <v>1</v>
      </c>
      <c r="E9">
        <v>0</v>
      </c>
      <c r="F9">
        <f>+POLIAM!C21</f>
        <v>4.1099999999999998E-2</v>
      </c>
      <c r="G9">
        <f t="shared" si="0"/>
        <v>1.0984386E-3</v>
      </c>
      <c r="H9" t="s">
        <v>51</v>
      </c>
      <c r="I9" t="str">
        <f>+POLIAM!H19</f>
        <v>0,830 Putrescina + 0,170 Espermidina +  --&gt; 1,000 POLIAM</v>
      </c>
    </row>
    <row r="10" spans="1:16" x14ac:dyDescent="0.3">
      <c r="A10" t="s">
        <v>8</v>
      </c>
      <c r="B10" s="2">
        <v>3.5000000000000003E-2</v>
      </c>
      <c r="C10" t="s">
        <v>52</v>
      </c>
      <c r="D10">
        <v>1</v>
      </c>
      <c r="E10">
        <v>0</v>
      </c>
      <c r="F10">
        <f>+OM!C14</f>
        <v>0.05</v>
      </c>
      <c r="G10">
        <f t="shared" si="0"/>
        <v>1.3363000000000001E-3</v>
      </c>
      <c r="H10" t="s">
        <v>118</v>
      </c>
      <c r="I10" t="str">
        <f>+OM!H19</f>
        <v>0.797 thf_c + 0.034 nad_c + 0.001 nadh_c + 0.002 nadp_c + 0.006 nadph_c + 0.048 udp_c + 0.064 atp_c + 0.032 adp_c + 0.016 amp_c +  --&gt; 1.000 om_c</v>
      </c>
    </row>
    <row r="11" spans="1:16" x14ac:dyDescent="0.3">
      <c r="A11" t="s">
        <v>167</v>
      </c>
      <c r="B11" s="1">
        <f>+SUM(B2:B10)</f>
        <v>1</v>
      </c>
    </row>
    <row r="13" spans="1:16" x14ac:dyDescent="0.3">
      <c r="A13" s="10" t="s">
        <v>0</v>
      </c>
      <c r="B13" s="24" t="str">
        <f>+_xlfn.CONCAT(D2, " ",C2, " + ", E2, " ATP --&gt; ", D2, " ",H2,"_biomass")</f>
        <v>1 AM + 4.306 ATP --&gt; 1 prot_biomass</v>
      </c>
      <c r="C13" s="24"/>
      <c r="D13" s="24"/>
      <c r="E13" s="24" t="str">
        <f>+_xlfn.CONCAT(F2, " ",H2,"_biomass --&gt; ", B2, " Biomass")</f>
        <v>5.081 prot_biomass --&gt; 0.55 Biomass</v>
      </c>
      <c r="F13" s="24"/>
      <c r="G13" s="24"/>
      <c r="H13" s="24"/>
      <c r="I13" s="11" t="str">
        <f>+_xlfn.CONCAT(F2," ",H2,"_biomass")</f>
        <v>5.081 prot_biomass</v>
      </c>
      <c r="J13" s="11"/>
      <c r="K13" s="25" t="str" cm="1">
        <f t="array" ref="K13">+_xlfn.CONCAT(TRANSPOSE(I13:I21)&amp;" + ", " --&gt; 1 Biomass_biomass")</f>
        <v>5.081 prot_biomass + 1.227 rna_biomass + 0.63 dna_biomass + 0.516 lip_biomass + 0.168 lps_biomass + 0.0924 PG_biomass + 0.154 ch_biomass + 0.0411 POLIAM_biomass + 0.05 om_biomass +  --&gt; 1 Biomass_biomass</v>
      </c>
      <c r="L13" s="25"/>
      <c r="M13" s="25"/>
      <c r="N13" s="25"/>
      <c r="O13" s="25"/>
      <c r="P13" s="25"/>
    </row>
    <row r="14" spans="1:16" x14ac:dyDescent="0.3">
      <c r="A14" s="10" t="s">
        <v>1</v>
      </c>
      <c r="B14" s="24" t="str">
        <f t="shared" ref="B14:B21" si="1">+_xlfn.CONCAT(D3, " ",C3, " + ", E3, " ATP --&gt; ", D3, " ",H3,"_biomass")</f>
        <v>1 NTP + 1.372 ATP --&gt; 1 rna_biomass</v>
      </c>
      <c r="C14" s="24"/>
      <c r="D14" s="24"/>
      <c r="E14" s="24" t="str">
        <f t="shared" ref="E14:E21" si="2">+_xlfn.CONCAT(F3, " ",H3,"_biomass --&gt; ", B3, " Biomass")</f>
        <v>1.227 rna_biomass --&gt; 0.205 Biomass</v>
      </c>
      <c r="F14" s="24"/>
      <c r="G14" s="24"/>
      <c r="H14" s="24"/>
      <c r="I14" s="11" t="str">
        <f t="shared" ref="I14:I21" si="3">+_xlfn.CONCAT(F3," ",H3,"_biomass")</f>
        <v>1.227 rna_biomass</v>
      </c>
      <c r="J14" s="11"/>
      <c r="K14" s="25"/>
      <c r="L14" s="25"/>
      <c r="M14" s="25"/>
      <c r="N14" s="25"/>
      <c r="O14" s="25"/>
      <c r="P14" s="25"/>
    </row>
    <row r="15" spans="1:16" x14ac:dyDescent="0.3">
      <c r="A15" s="10" t="s">
        <v>2</v>
      </c>
      <c r="B15" s="24" t="str">
        <f t="shared" si="1"/>
        <v>1 dNTP + 0.4 ATP --&gt; 1 dna_biomass</v>
      </c>
      <c r="C15" s="24"/>
      <c r="D15" s="24"/>
      <c r="E15" s="24" t="str">
        <f t="shared" si="2"/>
        <v>0.63 dna_biomass --&gt; 0.031 Biomass</v>
      </c>
      <c r="F15" s="24"/>
      <c r="G15" s="24"/>
      <c r="H15" s="24"/>
      <c r="I15" s="11" t="str">
        <f t="shared" si="3"/>
        <v>0.63 dna_biomass</v>
      </c>
      <c r="J15" s="11"/>
      <c r="K15" s="25"/>
      <c r="L15" s="25"/>
      <c r="M15" s="25"/>
      <c r="N15" s="25"/>
      <c r="O15" s="25"/>
      <c r="P15" s="25"/>
    </row>
    <row r="16" spans="1:16" x14ac:dyDescent="0.3">
      <c r="A16" s="10" t="s">
        <v>3</v>
      </c>
      <c r="B16" s="24" t="str">
        <f t="shared" si="1"/>
        <v>1 LIP + 0 ATP --&gt; 1 lip_biomass</v>
      </c>
      <c r="C16" s="24"/>
      <c r="D16" s="24"/>
      <c r="E16" s="24" t="str">
        <f t="shared" si="2"/>
        <v>0.516 lip_biomass --&gt; 0.091 Biomass</v>
      </c>
      <c r="F16" s="24"/>
      <c r="G16" s="24"/>
      <c r="H16" s="24"/>
      <c r="I16" s="11" t="str">
        <f t="shared" si="3"/>
        <v>0.516 lip_biomass</v>
      </c>
      <c r="J16" s="11"/>
      <c r="K16" s="25"/>
      <c r="L16" s="25"/>
      <c r="M16" s="25"/>
      <c r="N16" s="25"/>
      <c r="O16" s="25"/>
      <c r="P16" s="25"/>
    </row>
    <row r="17" spans="1:16" x14ac:dyDescent="0.3">
      <c r="A17" s="10" t="s">
        <v>4</v>
      </c>
      <c r="B17" s="24" t="str">
        <f t="shared" si="1"/>
        <v>1 LPS + 0 ATP --&gt; 1 lps_biomass</v>
      </c>
      <c r="C17" s="24"/>
      <c r="D17" s="24"/>
      <c r="E17" s="24" t="str">
        <f t="shared" si="2"/>
        <v>0.168 lps_biomass --&gt; 0.034 Biomass</v>
      </c>
      <c r="F17" s="24"/>
      <c r="G17" s="24"/>
      <c r="H17" s="24"/>
      <c r="I17" s="11" t="str">
        <f t="shared" si="3"/>
        <v>0.168 lps_biomass</v>
      </c>
      <c r="J17" s="11"/>
      <c r="K17" s="25"/>
      <c r="L17" s="25"/>
      <c r="M17" s="25"/>
      <c r="N17" s="25"/>
      <c r="O17" s="25"/>
      <c r="P17" s="25"/>
    </row>
    <row r="18" spans="1:16" x14ac:dyDescent="0.3">
      <c r="A18" s="10" t="s">
        <v>5</v>
      </c>
      <c r="B18" s="24" t="str">
        <f t="shared" si="1"/>
        <v>1 PG + 0 ATP --&gt; 1 PG_biomass</v>
      </c>
      <c r="C18" s="24"/>
      <c r="D18" s="24"/>
      <c r="E18" s="24" t="str">
        <f t="shared" si="2"/>
        <v>0.0924 PG_biomass --&gt; 0.025 Biomass</v>
      </c>
      <c r="F18" s="24"/>
      <c r="G18" s="24"/>
      <c r="H18" s="24"/>
      <c r="I18" s="11" t="str">
        <f t="shared" si="3"/>
        <v>0.0924 PG_biomass</v>
      </c>
      <c r="J18" s="11"/>
      <c r="K18" s="11"/>
      <c r="L18" s="6"/>
      <c r="M18" s="6"/>
      <c r="N18" s="6"/>
    </row>
    <row r="19" spans="1:16" x14ac:dyDescent="0.3">
      <c r="A19" s="10" t="s">
        <v>6</v>
      </c>
      <c r="B19" s="24" t="str">
        <f t="shared" si="1"/>
        <v>1 CARBOH + 0 ATP --&gt; 1 ch_biomass</v>
      </c>
      <c r="C19" s="24"/>
      <c r="D19" s="24"/>
      <c r="E19" s="24" t="str">
        <f t="shared" si="2"/>
        <v>0.154 ch_biomass --&gt; 0.025 Biomass</v>
      </c>
      <c r="F19" s="24"/>
      <c r="G19" s="24"/>
      <c r="H19" s="24"/>
      <c r="I19" s="11" t="str">
        <f t="shared" si="3"/>
        <v>0.154 ch_biomass</v>
      </c>
      <c r="J19" s="11"/>
      <c r="K19" s="11"/>
      <c r="L19" s="6"/>
      <c r="M19" s="6"/>
      <c r="N19" s="6"/>
    </row>
    <row r="20" spans="1:16" x14ac:dyDescent="0.3">
      <c r="A20" s="10" t="s">
        <v>7</v>
      </c>
      <c r="B20" s="24" t="str">
        <f t="shared" si="1"/>
        <v>1 POLIAM + 0 ATP --&gt; 1 POLIAM_biomass</v>
      </c>
      <c r="C20" s="24"/>
      <c r="D20" s="24"/>
      <c r="E20" s="24" t="str">
        <f t="shared" si="2"/>
        <v>0.0411 POLIAM_biomass --&gt; 0.004 Biomass</v>
      </c>
      <c r="F20" s="24"/>
      <c r="G20" s="24"/>
      <c r="H20" s="24"/>
      <c r="I20" s="11" t="str">
        <f t="shared" si="3"/>
        <v>0.0411 POLIAM_biomass</v>
      </c>
      <c r="J20" s="11"/>
    </row>
    <row r="21" spans="1:16" x14ac:dyDescent="0.3">
      <c r="A21" s="10" t="s">
        <v>8</v>
      </c>
      <c r="B21" s="24" t="str">
        <f t="shared" si="1"/>
        <v>1 OM + 0 ATP --&gt; 1 om_biomass</v>
      </c>
      <c r="C21" s="24"/>
      <c r="D21" s="24"/>
      <c r="E21" s="24" t="str">
        <f t="shared" si="2"/>
        <v>0.05 om_biomass --&gt; 0.035 Biomass</v>
      </c>
      <c r="F21" s="24"/>
      <c r="G21" s="24"/>
      <c r="H21" s="24"/>
      <c r="I21" s="11" t="str">
        <f t="shared" si="3"/>
        <v>0.05 om_biomass</v>
      </c>
      <c r="J21" s="11"/>
    </row>
    <row r="24" spans="1:16" x14ac:dyDescent="0.3">
      <c r="A24" t="s">
        <v>57</v>
      </c>
      <c r="B24">
        <v>26.725999999999999</v>
      </c>
    </row>
    <row r="27" spans="1:16" x14ac:dyDescent="0.3">
      <c r="E27" s="24" t="str">
        <f>+_xlfn.CONCAT(TEXT(B68,"0.00000"), " ",H2,"_x")</f>
        <v>0.09769 prot_x</v>
      </c>
      <c r="F27" s="24"/>
      <c r="G27" s="24"/>
      <c r="H27" s="24"/>
      <c r="I27" t="str">
        <f>+E27</f>
        <v>0.09769 prot_x</v>
      </c>
      <c r="K27" s="25" t="str" cm="1">
        <f t="array" ref="K27">+_xlfn.CONCAT(TRANSPOSE(I27:I32)&amp;" + ", " --&gt; 1 biomass_x")</f>
        <v>0.09769 prot_x + 0.02359 rna_x + 0.01211 dna_x + 0.00992 lip_x + 0.00323 lps_x + 0.00296 ch_x +  --&gt; 1 biomass_x</v>
      </c>
      <c r="L27" s="25"/>
      <c r="M27" s="25"/>
      <c r="N27" s="25"/>
      <c r="O27" s="25"/>
      <c r="P27" s="25"/>
    </row>
    <row r="28" spans="1:16" x14ac:dyDescent="0.3">
      <c r="E28" s="24" t="str">
        <f t="shared" ref="E28:E31" si="4">+_xlfn.CONCAT(TEXT(B69,"0.00000"), " ",H3,"_x")</f>
        <v>0.02359 rna_x</v>
      </c>
      <c r="F28" s="24"/>
      <c r="G28" s="24"/>
      <c r="H28" s="24"/>
      <c r="I28" t="str">
        <f t="shared" ref="I28:I31" si="5">+E28</f>
        <v>0.02359 rna_x</v>
      </c>
      <c r="K28" s="25"/>
      <c r="L28" s="25"/>
      <c r="M28" s="25"/>
      <c r="N28" s="25"/>
      <c r="O28" s="25"/>
      <c r="P28" s="25"/>
    </row>
    <row r="29" spans="1:16" x14ac:dyDescent="0.3">
      <c r="E29" s="24" t="str">
        <f t="shared" si="4"/>
        <v>0.01211 dna_x</v>
      </c>
      <c r="F29" s="24"/>
      <c r="G29" s="24"/>
      <c r="H29" s="24"/>
      <c r="I29" t="str">
        <f t="shared" si="5"/>
        <v>0.01211 dna_x</v>
      </c>
      <c r="K29" s="25"/>
      <c r="L29" s="25"/>
      <c r="M29" s="25"/>
      <c r="N29" s="25"/>
      <c r="O29" s="25"/>
      <c r="P29" s="25"/>
    </row>
    <row r="30" spans="1:16" x14ac:dyDescent="0.3">
      <c r="E30" s="24" t="str">
        <f t="shared" si="4"/>
        <v>0.00992 lip_x</v>
      </c>
      <c r="F30" s="24"/>
      <c r="G30" s="24"/>
      <c r="H30" s="24"/>
      <c r="I30" t="str">
        <f t="shared" si="5"/>
        <v>0.00992 lip_x</v>
      </c>
      <c r="K30" s="25"/>
      <c r="L30" s="25"/>
      <c r="M30" s="25"/>
      <c r="N30" s="25"/>
      <c r="O30" s="25"/>
      <c r="P30" s="25"/>
    </row>
    <row r="31" spans="1:16" x14ac:dyDescent="0.3">
      <c r="E31" s="24" t="str">
        <f t="shared" si="4"/>
        <v>0.00323 lps_x</v>
      </c>
      <c r="F31" s="24"/>
      <c r="G31" s="24"/>
      <c r="H31" s="24"/>
      <c r="I31" t="str">
        <f t="shared" si="5"/>
        <v>0.00323 lps_x</v>
      </c>
      <c r="K31" s="25"/>
      <c r="L31" s="25"/>
      <c r="M31" s="25"/>
      <c r="N31" s="25"/>
      <c r="O31" s="25"/>
      <c r="P31" s="25"/>
    </row>
    <row r="32" spans="1:16" x14ac:dyDescent="0.3">
      <c r="E32" s="24" t="str">
        <f>+_xlfn.CONCAT(TEXT(B73,"0.00000"), " ",H8,"_x")</f>
        <v>0.00296 ch_x</v>
      </c>
      <c r="F32" s="24"/>
      <c r="G32" s="24"/>
      <c r="H32" s="24"/>
      <c r="I32" t="str">
        <f>+E32</f>
        <v>0.00296 ch_x</v>
      </c>
    </row>
    <row r="33" spans="1:12" x14ac:dyDescent="0.3">
      <c r="E33" s="24"/>
      <c r="F33" s="24"/>
      <c r="G33" s="24"/>
      <c r="H33" s="24"/>
    </row>
    <row r="34" spans="1:12" x14ac:dyDescent="0.3">
      <c r="E34" s="24"/>
      <c r="F34" s="24"/>
      <c r="G34" s="24"/>
      <c r="H34" s="24"/>
    </row>
    <row r="35" spans="1:12" x14ac:dyDescent="0.3">
      <c r="E35" s="24"/>
      <c r="F35" s="24"/>
      <c r="G35" s="24"/>
      <c r="H35" s="24"/>
    </row>
    <row r="36" spans="1:12" x14ac:dyDescent="0.3">
      <c r="E36" s="24"/>
      <c r="F36" s="24"/>
      <c r="G36" s="24"/>
      <c r="H36" s="24"/>
    </row>
    <row r="37" spans="1:12" x14ac:dyDescent="0.3">
      <c r="E37" s="24"/>
      <c r="F37" s="24"/>
      <c r="G37" s="24"/>
      <c r="H37" s="24"/>
    </row>
    <row r="38" spans="1:12" x14ac:dyDescent="0.3">
      <c r="E38" s="24"/>
      <c r="F38" s="24"/>
      <c r="G38" s="24"/>
      <c r="H38" s="24"/>
    </row>
    <row r="40" spans="1:12" x14ac:dyDescent="0.3">
      <c r="C40" t="s">
        <v>119</v>
      </c>
      <c r="D40" t="s">
        <v>120</v>
      </c>
      <c r="E40" t="s">
        <v>122</v>
      </c>
      <c r="F40" t="s">
        <v>121</v>
      </c>
      <c r="I40" t="str">
        <f>+C40</f>
        <v>C</v>
      </c>
      <c r="J40" t="str">
        <f>+D40</f>
        <v>H</v>
      </c>
      <c r="K40" t="str">
        <f>+E40</f>
        <v>N</v>
      </c>
      <c r="L40" t="str">
        <f>+F40</f>
        <v>O</v>
      </c>
    </row>
    <row r="41" spans="1:12" x14ac:dyDescent="0.3">
      <c r="A41" t="s">
        <v>0</v>
      </c>
      <c r="B41" s="16">
        <f>+F2</f>
        <v>5.0810000000000004</v>
      </c>
      <c r="C41">
        <f>+Proteina!I66</f>
        <v>4.7929541428852582</v>
      </c>
      <c r="D41">
        <f>+Proteina!J66</f>
        <v>9.6687659909466639</v>
      </c>
      <c r="E41">
        <f>+Proteina!K66</f>
        <v>1.3703995276520371</v>
      </c>
      <c r="F41">
        <f>+Proteina!L66</f>
        <v>2.3963786656170045</v>
      </c>
      <c r="I41" s="15">
        <f>+C41*$B$24*$B41/1000</f>
        <v>0.65085827799999996</v>
      </c>
      <c r="J41" s="15">
        <f>+D41*$B$24*$B41/1000</f>
        <v>1.312968202</v>
      </c>
      <c r="K41" s="15">
        <f>+E41*$B$24*$B41/1000</f>
        <v>0.18609313800000002</v>
      </c>
      <c r="L41" s="15">
        <f>+F41*$B$24*$B41/1000</f>
        <v>0.32541577599999999</v>
      </c>
    </row>
    <row r="42" spans="1:12" x14ac:dyDescent="0.3">
      <c r="A42" t="s">
        <v>1</v>
      </c>
      <c r="B42" s="16">
        <f t="shared" ref="B42:B45" si="6">+F3</f>
        <v>1.2270000000000001</v>
      </c>
      <c r="C42">
        <f>+RNA!I35</f>
        <v>9.8000000000000007</v>
      </c>
      <c r="D42">
        <f>+RNA!J35</f>
        <v>13.571428571428573</v>
      </c>
      <c r="E42">
        <f>+RNA!K35</f>
        <v>3.9523809523809526</v>
      </c>
      <c r="F42">
        <f>+RNA!L35</f>
        <v>7.9539682539682541</v>
      </c>
      <c r="I42" s="15">
        <f t="shared" ref="I42:I46" si="7">+C42*$B$24*$B42/1000</f>
        <v>0.32136945960000002</v>
      </c>
      <c r="J42" s="15">
        <f t="shared" ref="J42:J46" si="8">+D42*$B$24*$B42/1000</f>
        <v>0.4450451700000001</v>
      </c>
      <c r="K42" s="15">
        <f t="shared" ref="K42:K46" si="9">+E42*$B$24*$B42/1000</f>
        <v>0.129609646</v>
      </c>
      <c r="L42" s="15">
        <f t="shared" ref="L42:L46" si="10">+F42*$B$24*$B42/1000</f>
        <v>0.2608329060666667</v>
      </c>
    </row>
    <row r="43" spans="1:12" x14ac:dyDescent="0.3">
      <c r="A43" t="s">
        <v>2</v>
      </c>
      <c r="B43" s="16">
        <f t="shared" si="6"/>
        <v>0.63</v>
      </c>
      <c r="C43">
        <f>+DNA!I35</f>
        <v>9.8133659331703349</v>
      </c>
      <c r="D43">
        <f>+DNA!J35</f>
        <v>13.728606356968214</v>
      </c>
      <c r="E43">
        <f>+DNA!K35</f>
        <v>4.0668296658516709</v>
      </c>
      <c r="F43">
        <f>+DNA!L35</f>
        <v>6.7889160554197234</v>
      </c>
      <c r="I43" s="15">
        <f t="shared" si="7"/>
        <v>0.16523137129584353</v>
      </c>
      <c r="J43" s="15">
        <f t="shared" si="8"/>
        <v>0.23115376210268945</v>
      </c>
      <c r="K43" s="15">
        <f t="shared" si="9"/>
        <v>6.8474756479217608E-2</v>
      </c>
      <c r="L43" s="15">
        <f t="shared" si="10"/>
        <v>0.11430755941320293</v>
      </c>
    </row>
    <row r="44" spans="1:12" x14ac:dyDescent="0.3">
      <c r="A44" t="s">
        <v>3</v>
      </c>
      <c r="B44" s="16">
        <f t="shared" si="6"/>
        <v>0.51600000000000001</v>
      </c>
      <c r="C44">
        <f>+Lipidos!I34</f>
        <v>13.83681550387597</v>
      </c>
      <c r="D44">
        <f>+Lipidos!J34</f>
        <v>28.496815503875972</v>
      </c>
      <c r="E44">
        <f>+Lipidos!K34</f>
        <v>0.18798449612403101</v>
      </c>
      <c r="F44">
        <f>+Lipidos!L34</f>
        <v>2.6440310077519378</v>
      </c>
      <c r="I44" s="15">
        <f t="shared" si="7"/>
        <v>0.19081820927680002</v>
      </c>
      <c r="J44" s="15">
        <f t="shared" si="8"/>
        <v>0.3929886398368001</v>
      </c>
      <c r="K44" s="15">
        <f t="shared" si="9"/>
        <v>2.592422E-3</v>
      </c>
      <c r="L44" s="15">
        <f t="shared" si="10"/>
        <v>3.6462816319999994E-2</v>
      </c>
    </row>
    <row r="45" spans="1:12" x14ac:dyDescent="0.3">
      <c r="A45" t="s">
        <v>4</v>
      </c>
      <c r="B45" s="16">
        <f t="shared" si="6"/>
        <v>0.16800000000000001</v>
      </c>
      <c r="C45">
        <f>+Lipopolisacaridos!I34</f>
        <v>8.2500000000000018</v>
      </c>
      <c r="D45">
        <f>+Lipopolisacaridos!J34</f>
        <v>16.900000000000002</v>
      </c>
      <c r="E45">
        <f>+Lipopolisacaridos!K34</f>
        <v>0.25</v>
      </c>
      <c r="F45">
        <f>+Lipopolisacaridos!L34</f>
        <v>4.8000000000000007</v>
      </c>
      <c r="I45" s="15">
        <f t="shared" si="7"/>
        <v>3.7042236000000013E-2</v>
      </c>
      <c r="J45" s="15">
        <f t="shared" si="8"/>
        <v>7.5880459200000014E-2</v>
      </c>
      <c r="K45" s="15">
        <f t="shared" si="9"/>
        <v>1.1224920000000001E-3</v>
      </c>
      <c r="L45" s="15">
        <f t="shared" si="10"/>
        <v>2.1551846400000005E-2</v>
      </c>
    </row>
    <row r="46" spans="1:12" x14ac:dyDescent="0.3">
      <c r="A46" t="s">
        <v>6</v>
      </c>
      <c r="B46" s="16">
        <f>+F8</f>
        <v>0.154</v>
      </c>
      <c r="C46">
        <f>+CarboH!B25</f>
        <v>6</v>
      </c>
      <c r="D46">
        <f>+CarboH!C25</f>
        <v>12</v>
      </c>
      <c r="E46">
        <f>+CarboH!D25</f>
        <v>0</v>
      </c>
      <c r="F46">
        <f>+CarboH!E25</f>
        <v>6</v>
      </c>
      <c r="I46" s="15">
        <f t="shared" si="7"/>
        <v>2.4694824000000001E-2</v>
      </c>
      <c r="J46" s="15">
        <f t="shared" si="8"/>
        <v>4.9389648000000001E-2</v>
      </c>
      <c r="K46" s="15">
        <f t="shared" si="9"/>
        <v>0</v>
      </c>
      <c r="L46" s="15">
        <f t="shared" si="10"/>
        <v>2.4694824000000001E-2</v>
      </c>
    </row>
    <row r="47" spans="1:12" x14ac:dyDescent="0.3">
      <c r="I47" s="15">
        <f>+SUM(I41:I46)</f>
        <v>1.3900143781726435</v>
      </c>
      <c r="J47">
        <f t="shared" ref="J47:L47" si="11">+SUM(J41:J46)</f>
        <v>2.5074258811394894</v>
      </c>
      <c r="K47">
        <f t="shared" si="11"/>
        <v>0.38789245447921755</v>
      </c>
      <c r="L47">
        <f t="shared" si="11"/>
        <v>0.78326572819986962</v>
      </c>
    </row>
    <row r="48" spans="1:12" x14ac:dyDescent="0.3">
      <c r="B48" s="2"/>
      <c r="I48">
        <f>+I47/$I$47</f>
        <v>1</v>
      </c>
      <c r="J48">
        <f t="shared" ref="J48:L48" si="12">+J47/$I$47</f>
        <v>1.8038848522098239</v>
      </c>
      <c r="K48">
        <f>+K47/$I$47</f>
        <v>0.27905643320693785</v>
      </c>
      <c r="L48">
        <f t="shared" si="12"/>
        <v>0.56349469509054673</v>
      </c>
    </row>
    <row r="49" spans="1:12" x14ac:dyDescent="0.3">
      <c r="B49" s="2"/>
      <c r="I49">
        <f>+I48*12</f>
        <v>12</v>
      </c>
      <c r="J49">
        <f>+J48*1</f>
        <v>1.8038848522098239</v>
      </c>
      <c r="K49">
        <f>+K48*14</f>
        <v>3.9067900648971299</v>
      </c>
      <c r="L49">
        <f>+L48*16</f>
        <v>9.0159151214487476</v>
      </c>
    </row>
    <row r="51" spans="1:12" x14ac:dyDescent="0.3">
      <c r="C51" t="s">
        <v>119</v>
      </c>
      <c r="D51" t="s">
        <v>120</v>
      </c>
      <c r="E51" t="s">
        <v>122</v>
      </c>
      <c r="F51" t="s">
        <v>121</v>
      </c>
      <c r="I51" t="str">
        <f>+C51</f>
        <v>C</v>
      </c>
      <c r="J51" t="str">
        <f t="shared" ref="J51" si="13">+D51</f>
        <v>H</v>
      </c>
      <c r="K51" t="str">
        <f t="shared" ref="K51" si="14">+E51</f>
        <v>N</v>
      </c>
      <c r="L51" t="str">
        <f t="shared" ref="L51" si="15">+F51</f>
        <v>O</v>
      </c>
    </row>
    <row r="52" spans="1:12" x14ac:dyDescent="0.3">
      <c r="A52" t="s">
        <v>0</v>
      </c>
      <c r="B52" s="13">
        <f>+F2/1000*$B$24</f>
        <v>0.13579480600000002</v>
      </c>
      <c r="C52">
        <f>+C41</f>
        <v>4.7929541428852582</v>
      </c>
      <c r="D52">
        <f t="shared" ref="D52:F52" si="16">+D41</f>
        <v>9.6687659909466639</v>
      </c>
      <c r="E52">
        <f t="shared" si="16"/>
        <v>1.3703995276520371</v>
      </c>
      <c r="F52">
        <f t="shared" si="16"/>
        <v>2.3963786656170045</v>
      </c>
      <c r="I52">
        <f>+C52*$B52</f>
        <v>0.65085827799999996</v>
      </c>
      <c r="J52">
        <f>+D52*$B52</f>
        <v>1.3129682020000002</v>
      </c>
      <c r="K52">
        <f>+E52*$B52</f>
        <v>0.18609313800000005</v>
      </c>
      <c r="L52">
        <f>+F52*$B52</f>
        <v>0.32541577600000005</v>
      </c>
    </row>
    <row r="53" spans="1:12" x14ac:dyDescent="0.3">
      <c r="A53" t="s">
        <v>1</v>
      </c>
      <c r="B53" s="13">
        <f t="shared" ref="B53:B56" si="17">+F3/1000*$B$24</f>
        <v>3.2792801999999996E-2</v>
      </c>
      <c r="C53">
        <f t="shared" ref="C53:F53" si="18">+C42</f>
        <v>9.8000000000000007</v>
      </c>
      <c r="D53">
        <f t="shared" si="18"/>
        <v>13.571428571428573</v>
      </c>
      <c r="E53">
        <f t="shared" si="18"/>
        <v>3.9523809523809526</v>
      </c>
      <c r="F53">
        <f t="shared" si="18"/>
        <v>7.9539682539682541</v>
      </c>
      <c r="I53">
        <f t="shared" ref="I53:I57" si="19">+C53*$B53</f>
        <v>0.32136945959999996</v>
      </c>
      <c r="J53">
        <f t="shared" ref="J53:J57" si="20">+D53*$B53</f>
        <v>0.44504516999999999</v>
      </c>
      <c r="K53">
        <f t="shared" ref="K53:K57" si="21">+E53*$B53</f>
        <v>0.129609646</v>
      </c>
      <c r="L53">
        <f t="shared" ref="L53:L57" si="22">+F53*$B53</f>
        <v>0.26083290606666665</v>
      </c>
    </row>
    <row r="54" spans="1:12" x14ac:dyDescent="0.3">
      <c r="A54" t="s">
        <v>2</v>
      </c>
      <c r="B54" s="13">
        <f t="shared" si="17"/>
        <v>1.6837379999999999E-2</v>
      </c>
      <c r="C54">
        <f t="shared" ref="C54:F54" si="23">+C43</f>
        <v>9.8133659331703349</v>
      </c>
      <c r="D54">
        <f t="shared" si="23"/>
        <v>13.728606356968214</v>
      </c>
      <c r="E54">
        <f t="shared" si="23"/>
        <v>4.0668296658516709</v>
      </c>
      <c r="F54">
        <f t="shared" si="23"/>
        <v>6.7889160554197234</v>
      </c>
      <c r="I54">
        <f t="shared" si="19"/>
        <v>0.16523137129584353</v>
      </c>
      <c r="J54">
        <f t="shared" si="20"/>
        <v>0.23115376210268945</v>
      </c>
      <c r="K54">
        <f t="shared" si="21"/>
        <v>6.8474756479217608E-2</v>
      </c>
      <c r="L54">
        <f t="shared" si="22"/>
        <v>0.11430755941320293</v>
      </c>
    </row>
    <row r="55" spans="1:12" x14ac:dyDescent="0.3">
      <c r="A55" t="s">
        <v>3</v>
      </c>
      <c r="B55" s="13">
        <f t="shared" si="17"/>
        <v>1.3790615999999999E-2</v>
      </c>
      <c r="C55">
        <f t="shared" ref="C55:F55" si="24">+C44</f>
        <v>13.83681550387597</v>
      </c>
      <c r="D55">
        <f t="shared" si="24"/>
        <v>28.496815503875972</v>
      </c>
      <c r="E55">
        <f t="shared" si="24"/>
        <v>0.18798449612403101</v>
      </c>
      <c r="F55">
        <f t="shared" si="24"/>
        <v>2.6440310077519378</v>
      </c>
      <c r="I55">
        <f t="shared" si="19"/>
        <v>0.19081820927679999</v>
      </c>
      <c r="J55">
        <f t="shared" si="20"/>
        <v>0.39298863983679999</v>
      </c>
      <c r="K55">
        <f t="shared" si="21"/>
        <v>2.5924219999999996E-3</v>
      </c>
      <c r="L55">
        <f t="shared" si="22"/>
        <v>3.6462816319999994E-2</v>
      </c>
    </row>
    <row r="56" spans="1:12" x14ac:dyDescent="0.3">
      <c r="A56" t="s">
        <v>4</v>
      </c>
      <c r="B56" s="13">
        <f t="shared" si="17"/>
        <v>4.4899680000000004E-3</v>
      </c>
      <c r="C56">
        <f t="shared" ref="C56:F56" si="25">+C45</f>
        <v>8.2500000000000018</v>
      </c>
      <c r="D56">
        <f t="shared" si="25"/>
        <v>16.900000000000002</v>
      </c>
      <c r="E56">
        <f t="shared" si="25"/>
        <v>0.25</v>
      </c>
      <c r="F56">
        <f t="shared" si="25"/>
        <v>4.8000000000000007</v>
      </c>
      <c r="I56">
        <f t="shared" si="19"/>
        <v>3.7042236000000013E-2</v>
      </c>
      <c r="J56">
        <f t="shared" si="20"/>
        <v>7.5880459200000014E-2</v>
      </c>
      <c r="K56">
        <f t="shared" si="21"/>
        <v>1.1224920000000001E-3</v>
      </c>
      <c r="L56">
        <f t="shared" si="22"/>
        <v>2.1551846400000005E-2</v>
      </c>
    </row>
    <row r="57" spans="1:12" x14ac:dyDescent="0.3">
      <c r="A57" t="s">
        <v>6</v>
      </c>
      <c r="B57" s="13">
        <f>+F8/1000*$B$24</f>
        <v>4.1158039999999998E-3</v>
      </c>
      <c r="C57">
        <f t="shared" ref="C57:F57" si="26">+C46</f>
        <v>6</v>
      </c>
      <c r="D57">
        <f t="shared" si="26"/>
        <v>12</v>
      </c>
      <c r="E57">
        <f t="shared" si="26"/>
        <v>0</v>
      </c>
      <c r="F57">
        <f t="shared" si="26"/>
        <v>6</v>
      </c>
      <c r="I57">
        <f t="shared" si="19"/>
        <v>2.4694823999999997E-2</v>
      </c>
      <c r="J57">
        <f t="shared" si="20"/>
        <v>4.9389647999999994E-2</v>
      </c>
      <c r="K57">
        <f t="shared" si="21"/>
        <v>0</v>
      </c>
      <c r="L57">
        <f t="shared" si="22"/>
        <v>2.4694823999999997E-2</v>
      </c>
    </row>
    <row r="58" spans="1:12" x14ac:dyDescent="0.3">
      <c r="H58" t="s">
        <v>163</v>
      </c>
      <c r="I58">
        <f>+SUM(I52:I57)</f>
        <v>1.3900143781726435</v>
      </c>
      <c r="J58">
        <f t="shared" ref="J58:L58" si="27">+SUM(J52:J57)</f>
        <v>2.5074258811394894</v>
      </c>
      <c r="K58">
        <f>+SUM(K52:K57)</f>
        <v>0.38789245447921766</v>
      </c>
      <c r="L58">
        <f t="shared" si="27"/>
        <v>0.78326572819986962</v>
      </c>
    </row>
    <row r="59" spans="1:12" x14ac:dyDescent="0.3">
      <c r="B59" s="2"/>
      <c r="H59" t="s">
        <v>164</v>
      </c>
      <c r="I59">
        <f>+I58/$I$58</f>
        <v>1</v>
      </c>
      <c r="J59">
        <f>+J58/$I$58</f>
        <v>1.8038848522098239</v>
      </c>
      <c r="K59">
        <f>+K58/$I$58</f>
        <v>0.27905643320693796</v>
      </c>
      <c r="L59">
        <f>+L58/$I$58</f>
        <v>0.56349469509054673</v>
      </c>
    </row>
    <row r="62" spans="1:12" x14ac:dyDescent="0.3">
      <c r="I62" s="14">
        <f>+I59</f>
        <v>1</v>
      </c>
      <c r="J62" s="14">
        <f>+J59</f>
        <v>1.8038848522098239</v>
      </c>
      <c r="K62" s="14">
        <f>+L59</f>
        <v>0.56349469509054673</v>
      </c>
      <c r="L62" s="14">
        <f>+K59</f>
        <v>0.27905643320693796</v>
      </c>
    </row>
    <row r="66" spans="1:12" x14ac:dyDescent="0.3">
      <c r="C66" s="26" t="s">
        <v>210</v>
      </c>
      <c r="D66" s="26"/>
      <c r="E66" s="26"/>
      <c r="F66" s="26"/>
    </row>
    <row r="67" spans="1:12" x14ac:dyDescent="0.3">
      <c r="B67" t="s">
        <v>209</v>
      </c>
      <c r="C67" t="s">
        <v>119</v>
      </c>
      <c r="D67" t="s">
        <v>120</v>
      </c>
      <c r="E67" t="s">
        <v>122</v>
      </c>
      <c r="F67" t="s">
        <v>121</v>
      </c>
      <c r="I67" t="str">
        <f>+C67</f>
        <v>C</v>
      </c>
      <c r="J67" t="str">
        <f t="shared" ref="J67" si="28">+D67</f>
        <v>H</v>
      </c>
      <c r="K67" t="str">
        <f t="shared" ref="K67" si="29">+E67</f>
        <v>N</v>
      </c>
      <c r="L67" t="str">
        <f t="shared" ref="L67" si="30">+F67</f>
        <v>O</v>
      </c>
    </row>
    <row r="68" spans="1:12" x14ac:dyDescent="0.3">
      <c r="A68" t="s">
        <v>0</v>
      </c>
      <c r="B68" s="4">
        <f>+B52/$I$58</f>
        <v>9.7693094497713129E-2</v>
      </c>
      <c r="C68" s="4">
        <f>+C41</f>
        <v>4.7929541428852582</v>
      </c>
      <c r="D68" s="4">
        <f t="shared" ref="D68:F68" si="31">+D41</f>
        <v>9.6687659909466639</v>
      </c>
      <c r="E68" s="4">
        <f t="shared" si="31"/>
        <v>1.3703995276520371</v>
      </c>
      <c r="F68" s="4">
        <f t="shared" si="31"/>
        <v>2.3963786656170045</v>
      </c>
      <c r="I68">
        <f>+C68*$B68</f>
        <v>0.46823852200409516</v>
      </c>
      <c r="J68">
        <f>+D68*$B68</f>
        <v>0.9445716696298273</v>
      </c>
      <c r="K68">
        <f>+E68*$B68</f>
        <v>0.13387857055453189</v>
      </c>
      <c r="L68">
        <f>+F68*$B68</f>
        <v>0.23410964743242571</v>
      </c>
    </row>
    <row r="69" spans="1:12" x14ac:dyDescent="0.3">
      <c r="A69" t="s">
        <v>1</v>
      </c>
      <c r="B69" s="4">
        <f>+B53/$I$58</f>
        <v>2.3591699852134222E-2</v>
      </c>
      <c r="C69" s="4">
        <f t="shared" ref="C69:F69" si="32">+C42</f>
        <v>9.8000000000000007</v>
      </c>
      <c r="D69" s="4">
        <f t="shared" si="32"/>
        <v>13.571428571428573</v>
      </c>
      <c r="E69" s="4">
        <f t="shared" si="32"/>
        <v>3.9523809523809526</v>
      </c>
      <c r="F69" s="4">
        <f t="shared" si="32"/>
        <v>7.9539682539682541</v>
      </c>
      <c r="I69">
        <f t="shared" ref="I69:I73" si="33">+C69*$B69</f>
        <v>0.2311986585509154</v>
      </c>
      <c r="J69">
        <f t="shared" ref="J69:J73" si="34">+D69*$B69</f>
        <v>0.32017306942182161</v>
      </c>
      <c r="K69">
        <f t="shared" ref="K69:K73" si="35">+E69*$B69</f>
        <v>9.3243385129863826E-2</v>
      </c>
      <c r="L69">
        <f t="shared" ref="L69:L73" si="36">+F69*$B69</f>
        <v>0.18764763168102316</v>
      </c>
    </row>
    <row r="70" spans="1:12" x14ac:dyDescent="0.3">
      <c r="A70" t="s">
        <v>2</v>
      </c>
      <c r="B70" s="4">
        <f>+B54/$I$58</f>
        <v>1.2113097723589698E-2</v>
      </c>
      <c r="C70" s="4">
        <f t="shared" ref="C70:F70" si="37">+C43</f>
        <v>9.8133659331703349</v>
      </c>
      <c r="D70" s="4">
        <f t="shared" si="37"/>
        <v>13.728606356968214</v>
      </c>
      <c r="E70" s="4">
        <f t="shared" si="37"/>
        <v>4.0668296658516709</v>
      </c>
      <c r="F70" s="4">
        <f t="shared" si="37"/>
        <v>6.7889160554197234</v>
      </c>
      <c r="I70">
        <f t="shared" si="33"/>
        <v>0.11887026054583828</v>
      </c>
      <c r="J70">
        <f t="shared" si="34"/>
        <v>0.16629595041065073</v>
      </c>
      <c r="K70">
        <f t="shared" si="35"/>
        <v>4.9261905167654926E-2</v>
      </c>
      <c r="L70">
        <f t="shared" si="36"/>
        <v>8.2234803616546212E-2</v>
      </c>
    </row>
    <row r="71" spans="1:12" x14ac:dyDescent="0.3">
      <c r="A71" t="s">
        <v>3</v>
      </c>
      <c r="B71" s="4">
        <f t="shared" ref="B71:B73" si="38">+B55/$I$58</f>
        <v>9.9212038497972777E-3</v>
      </c>
      <c r="C71" s="4">
        <f t="shared" ref="C71:F71" si="39">+C44</f>
        <v>13.83681550387597</v>
      </c>
      <c r="D71" s="4">
        <f t="shared" si="39"/>
        <v>28.496815503875972</v>
      </c>
      <c r="E71" s="4">
        <f t="shared" si="39"/>
        <v>0.18798449612403101</v>
      </c>
      <c r="F71" s="4">
        <f t="shared" si="39"/>
        <v>2.6440310077519378</v>
      </c>
      <c r="I71">
        <f t="shared" si="33"/>
        <v>0.13727786724598892</v>
      </c>
      <c r="J71">
        <f t="shared" si="34"/>
        <v>0.28272271568401702</v>
      </c>
      <c r="K71">
        <f t="shared" si="35"/>
        <v>1.8650325066479378E-3</v>
      </c>
      <c r="L71">
        <f t="shared" si="36"/>
        <v>2.62319706130919E-2</v>
      </c>
    </row>
    <row r="72" spans="1:12" x14ac:dyDescent="0.3">
      <c r="A72" t="s">
        <v>4</v>
      </c>
      <c r="B72" s="4">
        <f t="shared" si="38"/>
        <v>3.2301593929572534E-3</v>
      </c>
      <c r="C72" s="4">
        <f t="shared" ref="C72:F72" si="40">+C45</f>
        <v>8.2500000000000018</v>
      </c>
      <c r="D72" s="4">
        <f t="shared" si="40"/>
        <v>16.900000000000002</v>
      </c>
      <c r="E72" s="4">
        <f t="shared" si="40"/>
        <v>0.25</v>
      </c>
      <c r="F72" s="4">
        <f t="shared" si="40"/>
        <v>4.8000000000000007</v>
      </c>
      <c r="I72">
        <f t="shared" si="33"/>
        <v>2.6648814991897345E-2</v>
      </c>
      <c r="J72">
        <f t="shared" si="34"/>
        <v>5.4589693740977586E-2</v>
      </c>
      <c r="K72">
        <f t="shared" si="35"/>
        <v>8.0753984823931334E-4</v>
      </c>
      <c r="L72">
        <f t="shared" si="36"/>
        <v>1.5504765086194819E-2</v>
      </c>
    </row>
    <row r="73" spans="1:12" x14ac:dyDescent="0.3">
      <c r="A73" t="s">
        <v>6</v>
      </c>
      <c r="B73" s="4">
        <f t="shared" si="38"/>
        <v>2.9609794435441488E-3</v>
      </c>
      <c r="C73" s="4">
        <f t="shared" ref="C73:F73" si="41">+C46</f>
        <v>6</v>
      </c>
      <c r="D73" s="4">
        <f t="shared" si="41"/>
        <v>12</v>
      </c>
      <c r="E73" s="4">
        <f t="shared" si="41"/>
        <v>0</v>
      </c>
      <c r="F73" s="4">
        <f t="shared" si="41"/>
        <v>6</v>
      </c>
      <c r="I73">
        <f t="shared" si="33"/>
        <v>1.7765876661264893E-2</v>
      </c>
      <c r="J73">
        <f t="shared" si="34"/>
        <v>3.5531753322529787E-2</v>
      </c>
      <c r="K73">
        <f t="shared" si="35"/>
        <v>0</v>
      </c>
      <c r="L73">
        <f t="shared" si="36"/>
        <v>1.7765876661264893E-2</v>
      </c>
    </row>
    <row r="74" spans="1:12" x14ac:dyDescent="0.3">
      <c r="B74" t="s">
        <v>211</v>
      </c>
      <c r="C74" s="4">
        <v>1</v>
      </c>
      <c r="D74" s="4">
        <v>1.8038848522098241</v>
      </c>
      <c r="E74" s="4">
        <v>0.2790564332069379</v>
      </c>
      <c r="F74" s="4">
        <v>0.56349469509054673</v>
      </c>
      <c r="I74">
        <f>+SUM(I68:I73)</f>
        <v>1</v>
      </c>
      <c r="J74">
        <f t="shared" ref="J74" si="42">+SUM(J68:J73)</f>
        <v>1.8038848522098241</v>
      </c>
      <c r="K74">
        <f>+SUM(K68:K73)</f>
        <v>0.2790564332069379</v>
      </c>
      <c r="L74">
        <f t="shared" ref="L74" si="43">+SUM(L68:L73)</f>
        <v>0.56349469509054673</v>
      </c>
    </row>
    <row r="75" spans="1:12" x14ac:dyDescent="0.3">
      <c r="B75" s="2"/>
    </row>
    <row r="77" spans="1:12" x14ac:dyDescent="0.3">
      <c r="A77" t="str">
        <f>+A68</f>
        <v>Proteina</v>
      </c>
      <c r="C77" t="str">
        <f>+TEXT(C68,"0.00")</f>
        <v>4.79</v>
      </c>
      <c r="D77" t="str">
        <f t="shared" ref="D77:F77" si="44">+TEXT(D68,"0.00")</f>
        <v>9.67</v>
      </c>
      <c r="E77" t="str">
        <f t="shared" si="44"/>
        <v>1.37</v>
      </c>
      <c r="F77" t="str">
        <f t="shared" si="44"/>
        <v>2.40</v>
      </c>
      <c r="G77" s="18" t="s">
        <v>202</v>
      </c>
    </row>
    <row r="78" spans="1:12" x14ac:dyDescent="0.3">
      <c r="A78" t="str">
        <f t="shared" ref="A78:A82" si="45">+A69</f>
        <v>RNA</v>
      </c>
      <c r="C78" t="str">
        <f t="shared" ref="C78:F78" si="46">+TEXT(C69,"0.00")</f>
        <v>9.80</v>
      </c>
      <c r="D78" t="str">
        <f t="shared" si="46"/>
        <v>13.57</v>
      </c>
      <c r="E78" t="str">
        <f t="shared" si="46"/>
        <v>3.95</v>
      </c>
      <c r="F78" t="str">
        <f t="shared" si="46"/>
        <v>7.95</v>
      </c>
      <c r="G78" s="18" t="s">
        <v>203</v>
      </c>
      <c r="I78" s="14">
        <f>+I75</f>
        <v>0</v>
      </c>
      <c r="J78" s="14">
        <f>+J75</f>
        <v>0</v>
      </c>
      <c r="K78" s="14">
        <f>+L75</f>
        <v>0</v>
      </c>
      <c r="L78" s="14">
        <f>+K75</f>
        <v>0</v>
      </c>
    </row>
    <row r="79" spans="1:12" x14ac:dyDescent="0.3">
      <c r="A79" t="str">
        <f t="shared" si="45"/>
        <v>DNA</v>
      </c>
      <c r="C79" t="str">
        <f t="shared" ref="C79:F79" si="47">+TEXT(C70,"0.00")</f>
        <v>9.81</v>
      </c>
      <c r="D79" t="str">
        <f t="shared" si="47"/>
        <v>13.73</v>
      </c>
      <c r="E79" t="str">
        <f t="shared" si="47"/>
        <v>4.07</v>
      </c>
      <c r="F79" t="str">
        <f t="shared" si="47"/>
        <v>6.79</v>
      </c>
      <c r="G79" s="18" t="s">
        <v>204</v>
      </c>
    </row>
    <row r="80" spans="1:12" x14ac:dyDescent="0.3">
      <c r="A80" t="str">
        <f t="shared" si="45"/>
        <v>Lipidos</v>
      </c>
      <c r="C80" t="str">
        <f t="shared" ref="C80:F80" si="48">+TEXT(C71,"0.00")</f>
        <v>13.84</v>
      </c>
      <c r="D80" t="str">
        <f t="shared" si="48"/>
        <v>28.50</v>
      </c>
      <c r="E80" t="str">
        <f t="shared" si="48"/>
        <v>0.19</v>
      </c>
      <c r="F80" t="str">
        <f t="shared" si="48"/>
        <v>2.64</v>
      </c>
      <c r="G80" s="18" t="s">
        <v>205</v>
      </c>
    </row>
    <row r="81" spans="1:7" x14ac:dyDescent="0.3">
      <c r="A81" t="str">
        <f t="shared" si="45"/>
        <v>Lipopolisacaridos</v>
      </c>
      <c r="C81" t="str">
        <f t="shared" ref="C81:F81" si="49">+TEXT(C72,"0.00")</f>
        <v>8.25</v>
      </c>
      <c r="D81" t="str">
        <f t="shared" si="49"/>
        <v>16.90</v>
      </c>
      <c r="E81" t="str">
        <f t="shared" si="49"/>
        <v>0.25</v>
      </c>
      <c r="F81" t="str">
        <f t="shared" si="49"/>
        <v>4.80</v>
      </c>
      <c r="G81" s="18" t="s">
        <v>206</v>
      </c>
    </row>
    <row r="82" spans="1:7" x14ac:dyDescent="0.3">
      <c r="A82" t="str">
        <f t="shared" si="45"/>
        <v>Glucogeno</v>
      </c>
      <c r="C82" t="str">
        <f t="shared" ref="C82:F83" si="50">+TEXT(C73,"0.00")</f>
        <v>6.00</v>
      </c>
      <c r="D82" t="str">
        <f t="shared" si="50"/>
        <v>12.00</v>
      </c>
      <c r="E82" t="str">
        <f t="shared" si="50"/>
        <v>0.00</v>
      </c>
      <c r="F82" t="str">
        <f t="shared" si="50"/>
        <v>6.00</v>
      </c>
      <c r="G82" s="18" t="s">
        <v>207</v>
      </c>
    </row>
    <row r="83" spans="1:7" x14ac:dyDescent="0.3">
      <c r="C83" t="str">
        <f t="shared" si="50"/>
        <v>1.00</v>
      </c>
      <c r="D83" t="str">
        <f t="shared" si="50"/>
        <v>1.80</v>
      </c>
      <c r="E83" t="str">
        <f t="shared" si="50"/>
        <v>0.28</v>
      </c>
      <c r="F83" t="str">
        <f t="shared" si="50"/>
        <v>0.56</v>
      </c>
      <c r="G83" s="18" t="s">
        <v>208</v>
      </c>
    </row>
  </sheetData>
  <mergeCells count="33">
    <mergeCell ref="C66:F66"/>
    <mergeCell ref="B19:D19"/>
    <mergeCell ref="B20:D20"/>
    <mergeCell ref="B21:D21"/>
    <mergeCell ref="E13:H13"/>
    <mergeCell ref="E14:H14"/>
    <mergeCell ref="E15:H15"/>
    <mergeCell ref="E16:H16"/>
    <mergeCell ref="E17:H17"/>
    <mergeCell ref="E18:H18"/>
    <mergeCell ref="E19:H19"/>
    <mergeCell ref="B13:D13"/>
    <mergeCell ref="B14:D14"/>
    <mergeCell ref="B15:D15"/>
    <mergeCell ref="B16:D16"/>
    <mergeCell ref="B17:D17"/>
    <mergeCell ref="B18:D18"/>
    <mergeCell ref="K13:P17"/>
    <mergeCell ref="K27:P31"/>
    <mergeCell ref="E27:H27"/>
    <mergeCell ref="E28:H28"/>
    <mergeCell ref="E20:H20"/>
    <mergeCell ref="E21:H21"/>
    <mergeCell ref="E35:H35"/>
    <mergeCell ref="E36:H36"/>
    <mergeCell ref="E37:H37"/>
    <mergeCell ref="E38:H38"/>
    <mergeCell ref="E29:H29"/>
    <mergeCell ref="E30:H30"/>
    <mergeCell ref="E31:H31"/>
    <mergeCell ref="E32:H32"/>
    <mergeCell ref="E34:H34"/>
    <mergeCell ref="E33:H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DDF5-581C-45A1-AE90-6A0CCC432B6B}">
  <dimension ref="A1:I19"/>
  <sheetViews>
    <sheetView zoomScale="70" zoomScaleNormal="70" workbookViewId="0">
      <selection activeCell="K2" sqref="K2"/>
    </sheetView>
  </sheetViews>
  <sheetFormatPr baseColWidth="10" defaultRowHeight="14.4" x14ac:dyDescent="0.3"/>
  <cols>
    <col min="1" max="1" width="14.109375" customWidth="1"/>
    <col min="4" max="4" width="20.5546875" customWidth="1"/>
    <col min="7" max="7" width="15.5546875" customWidth="1"/>
    <col min="8" max="8" width="60.88671875" customWidth="1"/>
  </cols>
  <sheetData>
    <row r="1" spans="1:9" ht="28.8" x14ac:dyDescent="0.3">
      <c r="A1" s="19" t="s">
        <v>196</v>
      </c>
      <c r="B1" s="19" t="s">
        <v>166</v>
      </c>
      <c r="C1" s="19" t="s">
        <v>56</v>
      </c>
      <c r="D1" s="19" t="s">
        <v>201</v>
      </c>
      <c r="E1" s="19" t="s">
        <v>195</v>
      </c>
      <c r="F1" s="19" t="s">
        <v>186</v>
      </c>
      <c r="G1" s="20" t="s">
        <v>196</v>
      </c>
      <c r="H1" s="19" t="s">
        <v>184</v>
      </c>
      <c r="I1" s="20" t="s">
        <v>185</v>
      </c>
    </row>
    <row r="2" spans="1:9" s="5" customFormat="1" ht="102" customHeight="1" x14ac:dyDescent="0.3">
      <c r="A2" s="20" t="s">
        <v>197</v>
      </c>
      <c r="B2" s="20">
        <v>0.55000000000000004</v>
      </c>
      <c r="C2" s="20" t="s">
        <v>35</v>
      </c>
      <c r="D2" s="20"/>
      <c r="E2" s="21">
        <v>4.306</v>
      </c>
      <c r="F2" s="23">
        <v>9.7693094497713129E-2</v>
      </c>
      <c r="G2" s="20" t="s">
        <v>112</v>
      </c>
      <c r="H2" s="22" t="s">
        <v>168</v>
      </c>
      <c r="I2" s="20" t="s">
        <v>189</v>
      </c>
    </row>
    <row r="3" spans="1:9" s="5" customFormat="1" ht="102" customHeight="1" x14ac:dyDescent="0.3">
      <c r="A3" s="20" t="s">
        <v>1</v>
      </c>
      <c r="B3" s="20">
        <v>0.20499999999999999</v>
      </c>
      <c r="C3" s="20" t="s">
        <v>187</v>
      </c>
      <c r="D3" s="20"/>
      <c r="E3" s="21">
        <v>1.3719999999999997</v>
      </c>
      <c r="F3" s="23">
        <v>2.3591699852134222E-2</v>
      </c>
      <c r="G3" s="20" t="s">
        <v>113</v>
      </c>
      <c r="H3" s="22" t="s">
        <v>169</v>
      </c>
      <c r="I3" s="20" t="s">
        <v>190</v>
      </c>
    </row>
    <row r="4" spans="1:9" s="5" customFormat="1" ht="102" customHeight="1" x14ac:dyDescent="0.3">
      <c r="A4" s="20" t="s">
        <v>2</v>
      </c>
      <c r="B4" s="20">
        <v>3.1E-2</v>
      </c>
      <c r="C4" s="20" t="s">
        <v>188</v>
      </c>
      <c r="D4" s="20"/>
      <c r="E4" s="21">
        <v>0.4</v>
      </c>
      <c r="F4" s="23">
        <v>1.2113097723589698E-2</v>
      </c>
      <c r="G4" s="20" t="s">
        <v>114</v>
      </c>
      <c r="H4" s="22" t="s">
        <v>170</v>
      </c>
      <c r="I4" s="20" t="s">
        <v>191</v>
      </c>
    </row>
    <row r="5" spans="1:9" s="5" customFormat="1" ht="102" customHeight="1" x14ac:dyDescent="0.3">
      <c r="A5" s="20" t="s">
        <v>198</v>
      </c>
      <c r="B5" s="20">
        <v>9.0999999999999998E-2</v>
      </c>
      <c r="C5" s="20" t="s">
        <v>39</v>
      </c>
      <c r="D5" s="20"/>
      <c r="E5" s="21">
        <v>0</v>
      </c>
      <c r="F5" s="23">
        <v>9.9212038497972777E-3</v>
      </c>
      <c r="G5" s="20" t="s">
        <v>115</v>
      </c>
      <c r="H5" s="22" t="s">
        <v>171</v>
      </c>
      <c r="I5" s="20" t="s">
        <v>192</v>
      </c>
    </row>
    <row r="6" spans="1:9" s="5" customFormat="1" ht="102" customHeight="1" x14ac:dyDescent="0.3">
      <c r="A6" s="20" t="s">
        <v>199</v>
      </c>
      <c r="B6" s="20">
        <v>3.4000000000000002E-2</v>
      </c>
      <c r="C6" s="20" t="s">
        <v>41</v>
      </c>
      <c r="D6" s="20"/>
      <c r="E6" s="21">
        <v>0</v>
      </c>
      <c r="F6" s="23">
        <v>3.2301593929572534E-3</v>
      </c>
      <c r="G6" s="20" t="s">
        <v>116</v>
      </c>
      <c r="H6" s="22" t="s">
        <v>172</v>
      </c>
      <c r="I6" s="20" t="s">
        <v>193</v>
      </c>
    </row>
    <row r="7" spans="1:9" s="5" customFormat="1" ht="102" customHeight="1" x14ac:dyDescent="0.3">
      <c r="A7" s="20" t="s">
        <v>200</v>
      </c>
      <c r="B7" s="20">
        <v>2.5000000000000001E-2</v>
      </c>
      <c r="C7" s="20" t="s">
        <v>48</v>
      </c>
      <c r="D7" s="20"/>
      <c r="E7" s="21">
        <v>0</v>
      </c>
      <c r="F7" s="23">
        <v>2.9609794435441488E-3</v>
      </c>
      <c r="G7" s="20" t="s">
        <v>117</v>
      </c>
      <c r="H7" s="22" t="s">
        <v>173</v>
      </c>
      <c r="I7" s="20" t="s">
        <v>194</v>
      </c>
    </row>
    <row r="11" spans="1:9" x14ac:dyDescent="0.3">
      <c r="A11" t="s">
        <v>0</v>
      </c>
      <c r="B11" t="s">
        <v>174</v>
      </c>
    </row>
    <row r="12" spans="1:9" x14ac:dyDescent="0.3">
      <c r="A12" t="s">
        <v>1</v>
      </c>
      <c r="B12" t="s">
        <v>175</v>
      </c>
    </row>
    <row r="13" spans="1:9" x14ac:dyDescent="0.3">
      <c r="A13" t="s">
        <v>2</v>
      </c>
      <c r="B13" t="s">
        <v>176</v>
      </c>
    </row>
    <row r="14" spans="1:9" x14ac:dyDescent="0.3">
      <c r="A14" t="s">
        <v>3</v>
      </c>
      <c r="B14" t="s">
        <v>177</v>
      </c>
    </row>
    <row r="15" spans="1:9" x14ac:dyDescent="0.3">
      <c r="A15" t="s">
        <v>4</v>
      </c>
      <c r="B15" t="s">
        <v>178</v>
      </c>
    </row>
    <row r="16" spans="1:9" x14ac:dyDescent="0.3">
      <c r="A16" t="s">
        <v>5</v>
      </c>
      <c r="B16" t="s">
        <v>179</v>
      </c>
    </row>
    <row r="17" spans="1:2" x14ac:dyDescent="0.3">
      <c r="A17" t="s">
        <v>6</v>
      </c>
      <c r="B17" t="s">
        <v>180</v>
      </c>
    </row>
    <row r="18" spans="1:2" x14ac:dyDescent="0.3">
      <c r="A18" t="s">
        <v>7</v>
      </c>
      <c r="B18" t="s">
        <v>181</v>
      </c>
    </row>
    <row r="19" spans="1:2" x14ac:dyDescent="0.3">
      <c r="A19" t="s">
        <v>8</v>
      </c>
      <c r="B19" t="s">
        <v>182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DE6E-D9BB-4F05-805E-19CD8B58858B}">
  <dimension ref="A1:Q91"/>
  <sheetViews>
    <sheetView topLeftCell="A40" zoomScaleNormal="100" workbookViewId="0">
      <selection activeCell="P46" sqref="P46"/>
    </sheetView>
  </sheetViews>
  <sheetFormatPr baseColWidth="10" defaultRowHeight="14.4" x14ac:dyDescent="0.3"/>
  <cols>
    <col min="8" max="8" width="17.88671875" customWidth="1"/>
  </cols>
  <sheetData>
    <row r="1" spans="1:7" x14ac:dyDescent="0.3">
      <c r="A1" t="s">
        <v>10</v>
      </c>
      <c r="B1" t="s">
        <v>36</v>
      </c>
      <c r="C1" t="s">
        <v>38</v>
      </c>
      <c r="G1" t="s">
        <v>37</v>
      </c>
    </row>
    <row r="2" spans="1:7" x14ac:dyDescent="0.3">
      <c r="A2" t="s">
        <v>0</v>
      </c>
      <c r="B2" s="1">
        <v>0.55000000000000004</v>
      </c>
      <c r="C2">
        <f>+B2*1</f>
        <v>0.55000000000000004</v>
      </c>
      <c r="D2">
        <f>+C2/$G$2</f>
        <v>2.2339561332250204E-2</v>
      </c>
      <c r="E2" s="7">
        <f>+D2/$D$11</f>
        <v>0.54999999999999993</v>
      </c>
      <c r="G2">
        <v>24.62</v>
      </c>
    </row>
    <row r="3" spans="1:7" x14ac:dyDescent="0.3">
      <c r="A3" t="s">
        <v>1</v>
      </c>
      <c r="B3" s="2">
        <v>0.20499999999999999</v>
      </c>
      <c r="C3">
        <f t="shared" ref="C3:C10" si="0">+B3*1</f>
        <v>0.20499999999999999</v>
      </c>
      <c r="D3">
        <f t="shared" ref="D3:D10" si="1">+C3/$G$2</f>
        <v>8.3265637692932562E-3</v>
      </c>
      <c r="E3" s="7">
        <f t="shared" ref="E3:E10" si="2">+D3/$D$11</f>
        <v>0.20499999999999993</v>
      </c>
    </row>
    <row r="4" spans="1:7" x14ac:dyDescent="0.3">
      <c r="A4" t="s">
        <v>2</v>
      </c>
      <c r="B4" s="2">
        <v>3.1E-2</v>
      </c>
      <c r="C4">
        <f t="shared" si="0"/>
        <v>3.1E-2</v>
      </c>
      <c r="D4">
        <f t="shared" si="1"/>
        <v>1.2591389114541022E-3</v>
      </c>
      <c r="E4" s="7">
        <f t="shared" si="2"/>
        <v>3.0999999999999993E-2</v>
      </c>
    </row>
    <row r="5" spans="1:7" x14ac:dyDescent="0.3">
      <c r="A5" t="s">
        <v>3</v>
      </c>
      <c r="B5" s="2">
        <v>9.0999999999999998E-2</v>
      </c>
      <c r="C5">
        <f t="shared" si="0"/>
        <v>9.0999999999999998E-2</v>
      </c>
      <c r="D5">
        <f t="shared" si="1"/>
        <v>3.6961819658813972E-3</v>
      </c>
      <c r="E5" s="7">
        <f t="shared" si="2"/>
        <v>9.0999999999999984E-2</v>
      </c>
    </row>
    <row r="6" spans="1:7" x14ac:dyDescent="0.3">
      <c r="A6" t="s">
        <v>4</v>
      </c>
      <c r="B6" s="2">
        <v>3.4000000000000002E-2</v>
      </c>
      <c r="C6">
        <f t="shared" si="0"/>
        <v>3.4000000000000002E-2</v>
      </c>
      <c r="D6">
        <f t="shared" si="1"/>
        <v>1.3809910641754671E-3</v>
      </c>
      <c r="E6" s="7">
        <f t="shared" si="2"/>
        <v>3.3999999999999996E-2</v>
      </c>
    </row>
    <row r="7" spans="1:7" x14ac:dyDescent="0.3">
      <c r="A7" t="s">
        <v>5</v>
      </c>
      <c r="B7" s="2">
        <v>2.5000000000000001E-2</v>
      </c>
      <c r="C7">
        <f t="shared" si="0"/>
        <v>2.5000000000000001E-2</v>
      </c>
      <c r="D7">
        <f t="shared" si="1"/>
        <v>1.015434606011373E-3</v>
      </c>
      <c r="E7" s="7">
        <f t="shared" si="2"/>
        <v>2.5000000000000001E-2</v>
      </c>
    </row>
    <row r="8" spans="1:7" x14ac:dyDescent="0.3">
      <c r="A8" t="s">
        <v>6</v>
      </c>
      <c r="B8" s="2">
        <v>2.5000000000000001E-2</v>
      </c>
      <c r="C8">
        <f t="shared" si="0"/>
        <v>2.5000000000000001E-2</v>
      </c>
      <c r="D8">
        <f t="shared" si="1"/>
        <v>1.015434606011373E-3</v>
      </c>
      <c r="E8" s="7">
        <f t="shared" si="2"/>
        <v>2.5000000000000001E-2</v>
      </c>
    </row>
    <row r="9" spans="1:7" x14ac:dyDescent="0.3">
      <c r="A9" t="s">
        <v>7</v>
      </c>
      <c r="B9" s="2">
        <v>4.0000000000000001E-3</v>
      </c>
      <c r="C9">
        <f t="shared" si="0"/>
        <v>4.0000000000000001E-3</v>
      </c>
      <c r="D9">
        <f t="shared" si="1"/>
        <v>1.6246953696181965E-4</v>
      </c>
      <c r="E9" s="7">
        <f t="shared" si="2"/>
        <v>3.9999999999999992E-3</v>
      </c>
    </row>
    <row r="10" spans="1:7" x14ac:dyDescent="0.3">
      <c r="A10" t="s">
        <v>8</v>
      </c>
      <c r="B10" s="2">
        <v>3.5000000000000003E-2</v>
      </c>
      <c r="C10">
        <f t="shared" si="0"/>
        <v>3.5000000000000003E-2</v>
      </c>
      <c r="D10">
        <f t="shared" si="1"/>
        <v>1.421608448415922E-3</v>
      </c>
      <c r="E10" s="7">
        <f t="shared" si="2"/>
        <v>3.4999999999999996E-2</v>
      </c>
    </row>
    <row r="11" spans="1:7" x14ac:dyDescent="0.3">
      <c r="B11" s="1">
        <f>+SUM(B2:B10)</f>
        <v>1</v>
      </c>
      <c r="C11" s="8">
        <f>+SUM(C2:C10)</f>
        <v>1</v>
      </c>
      <c r="D11" s="12">
        <f>+SUM(D2:D10)</f>
        <v>4.0617384240454919E-2</v>
      </c>
    </row>
    <row r="14" spans="1:7" x14ac:dyDescent="0.3">
      <c r="A14" t="s">
        <v>0</v>
      </c>
      <c r="B14" t="s">
        <v>13</v>
      </c>
      <c r="C14" t="s">
        <v>16</v>
      </c>
      <c r="D14" t="s">
        <v>15</v>
      </c>
      <c r="E14" t="s">
        <v>23</v>
      </c>
    </row>
    <row r="15" spans="1:7" x14ac:dyDescent="0.3">
      <c r="A15" t="s">
        <v>67</v>
      </c>
      <c r="B15">
        <v>488</v>
      </c>
      <c r="C15">
        <f>+B15/1000</f>
        <v>0.48799999999999999</v>
      </c>
      <c r="D15" s="7">
        <f>+B15/$B$35</f>
        <v>9.6044085809879942E-2</v>
      </c>
      <c r="E15">
        <f>+C15*(SUM($B$38:$B$41))</f>
        <v>2.1013280000000001</v>
      </c>
      <c r="F15" t="str">
        <f>+_xlfn.CONCAT(TEXT(D15,"0.000")," ",A15)</f>
        <v>0.096 ala__L_c</v>
      </c>
    </row>
    <row r="16" spans="1:7" x14ac:dyDescent="0.3">
      <c r="A16" t="s">
        <v>69</v>
      </c>
      <c r="B16">
        <v>281</v>
      </c>
      <c r="C16">
        <f t="shared" ref="C16:C36" si="3">+B16/1000</f>
        <v>0.28100000000000003</v>
      </c>
      <c r="D16" s="7">
        <f t="shared" ref="D16:D34" si="4">+B16/$B$35</f>
        <v>5.530407400118087E-2</v>
      </c>
      <c r="E16">
        <f t="shared" ref="E16:E34" si="5">+C16*(SUM($B$38:$B$41))</f>
        <v>1.2099860000000002</v>
      </c>
      <c r="F16" t="str">
        <f t="shared" ref="F16:F36" si="6">+_xlfn.CONCAT(TEXT(D16,"0.000")," ",A16)</f>
        <v>0.055 arg__L_c</v>
      </c>
    </row>
    <row r="17" spans="1:16" x14ac:dyDescent="0.3">
      <c r="A17" t="s">
        <v>70</v>
      </c>
      <c r="B17">
        <v>229</v>
      </c>
      <c r="C17">
        <f t="shared" si="3"/>
        <v>0.22900000000000001</v>
      </c>
      <c r="D17" s="7">
        <f t="shared" si="4"/>
        <v>4.506986813619366E-2</v>
      </c>
      <c r="E17">
        <f t="shared" si="5"/>
        <v>0.98607400000000001</v>
      </c>
      <c r="F17" t="str">
        <f t="shared" si="6"/>
        <v>0.045 asn__L_c</v>
      </c>
    </row>
    <row r="18" spans="1:16" x14ac:dyDescent="0.3">
      <c r="A18" t="s">
        <v>71</v>
      </c>
      <c r="B18">
        <v>229</v>
      </c>
      <c r="C18">
        <f t="shared" si="3"/>
        <v>0.22900000000000001</v>
      </c>
      <c r="D18" s="7">
        <f t="shared" si="4"/>
        <v>4.506986813619366E-2</v>
      </c>
      <c r="E18">
        <f t="shared" si="5"/>
        <v>0.98607400000000001</v>
      </c>
      <c r="F18" t="str">
        <f t="shared" si="6"/>
        <v>0.045 asp__L_c</v>
      </c>
      <c r="H18" s="25" t="str" cm="1">
        <f t="array" ref="H18">+_xlfn.CONCAT(TRANSPOSE(F15:F34)&amp;" + ")</f>
        <v xml:space="preserve">0.096 ala__L_c + 0.055 arg__L_c + 0.045 asn__L_c + 0.045 asp__L_c + 0.017 cys__L_c + 0.049 glu__L_c + 0.049 gln__L_c + 0.115 gly__L_c + 0.018 his__L_c + 0.054 ileu__L_c + 0.084 leu__L_c + 0.064 lys__L_c + 0.029 met__L_c + 0.035 phen__L_c + 0.041 pro__L_c + 0.040 ser__L_c + 0.047 thr__L_c + 0.011 tryp__L_c + 0.026 tyr__L_c + 0.079 val__L_c + </v>
      </c>
      <c r="I18" s="25"/>
      <c r="J18" s="25"/>
      <c r="K18" s="25"/>
      <c r="L18" s="25"/>
      <c r="M18" s="25"/>
      <c r="N18" s="25"/>
      <c r="O18" s="25"/>
      <c r="P18" s="25"/>
    </row>
    <row r="19" spans="1:16" x14ac:dyDescent="0.3">
      <c r="A19" t="s">
        <v>72</v>
      </c>
      <c r="B19">
        <v>87</v>
      </c>
      <c r="C19">
        <f t="shared" si="3"/>
        <v>8.6999999999999994E-2</v>
      </c>
      <c r="D19" s="7">
        <f t="shared" si="4"/>
        <v>1.7122613658728598E-2</v>
      </c>
      <c r="E19">
        <f t="shared" si="5"/>
        <v>0.37462199999999996</v>
      </c>
      <c r="F19" t="str">
        <f t="shared" si="6"/>
        <v>0.017 cys__L_c</v>
      </c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3">
      <c r="A20" t="s">
        <v>73</v>
      </c>
      <c r="B20">
        <v>250</v>
      </c>
      <c r="C20" s="4">
        <f t="shared" si="3"/>
        <v>0.25</v>
      </c>
      <c r="D20" s="7">
        <f t="shared" si="4"/>
        <v>4.9202912812438493E-2</v>
      </c>
      <c r="E20">
        <f t="shared" si="5"/>
        <v>1.0765</v>
      </c>
      <c r="F20" t="str">
        <f t="shared" si="6"/>
        <v>0.049 glu__L_c</v>
      </c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3">
      <c r="A21" t="s">
        <v>74</v>
      </c>
      <c r="B21">
        <v>250</v>
      </c>
      <c r="C21" s="4">
        <f t="shared" si="3"/>
        <v>0.25</v>
      </c>
      <c r="D21" s="7">
        <f t="shared" si="4"/>
        <v>4.9202912812438493E-2</v>
      </c>
      <c r="E21">
        <f t="shared" si="5"/>
        <v>1.0765</v>
      </c>
      <c r="F21" t="str">
        <f t="shared" si="6"/>
        <v>0.049 gln__L_c</v>
      </c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3">
      <c r="A22" t="s">
        <v>75</v>
      </c>
      <c r="B22">
        <v>582</v>
      </c>
      <c r="C22" s="4">
        <f t="shared" si="3"/>
        <v>0.58199999999999996</v>
      </c>
      <c r="D22" s="7">
        <f t="shared" si="4"/>
        <v>0.11454438102735683</v>
      </c>
      <c r="E22">
        <f t="shared" si="5"/>
        <v>2.5060919999999998</v>
      </c>
      <c r="F22" t="str">
        <f t="shared" si="6"/>
        <v>0.115 gly__L_c</v>
      </c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3">
      <c r="A23" t="s">
        <v>76</v>
      </c>
      <c r="B23">
        <v>90</v>
      </c>
      <c r="C23" s="4">
        <f t="shared" si="3"/>
        <v>0.09</v>
      </c>
      <c r="D23" s="7">
        <f t="shared" si="4"/>
        <v>1.7713048612477859E-2</v>
      </c>
      <c r="E23">
        <f t="shared" si="5"/>
        <v>0.38754</v>
      </c>
      <c r="F23" t="str">
        <f t="shared" si="6"/>
        <v>0.018 his__L_c</v>
      </c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3">
      <c r="A24" t="s">
        <v>77</v>
      </c>
      <c r="B24">
        <v>276</v>
      </c>
      <c r="C24">
        <f t="shared" si="3"/>
        <v>0.27600000000000002</v>
      </c>
      <c r="D24" s="7">
        <f t="shared" si="4"/>
        <v>5.4320015744932101E-2</v>
      </c>
      <c r="E24">
        <f t="shared" si="5"/>
        <v>1.1884560000000002</v>
      </c>
      <c r="F24" t="str">
        <f t="shared" si="6"/>
        <v>0.054 ileu__L_c</v>
      </c>
      <c r="H24" s="25"/>
      <c r="I24" s="25"/>
      <c r="J24" s="25"/>
      <c r="K24" s="25"/>
      <c r="L24" s="25"/>
      <c r="M24" s="25"/>
      <c r="N24" s="25"/>
      <c r="O24" s="25"/>
      <c r="P24" s="25"/>
    </row>
    <row r="25" spans="1:16" x14ac:dyDescent="0.3">
      <c r="A25" t="s">
        <v>78</v>
      </c>
      <c r="B25">
        <v>428</v>
      </c>
      <c r="C25">
        <f t="shared" si="3"/>
        <v>0.42799999999999999</v>
      </c>
      <c r="D25" s="7">
        <f t="shared" si="4"/>
        <v>8.423538673489471E-2</v>
      </c>
      <c r="E25">
        <f t="shared" si="5"/>
        <v>1.8429679999999999</v>
      </c>
      <c r="F25" t="str">
        <f t="shared" si="6"/>
        <v>0.084 leu__L_c</v>
      </c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3">
      <c r="A26" t="s">
        <v>79</v>
      </c>
      <c r="B26">
        <v>326</v>
      </c>
      <c r="C26">
        <f t="shared" si="3"/>
        <v>0.32600000000000001</v>
      </c>
      <c r="D26" s="7">
        <f t="shared" si="4"/>
        <v>6.4160598307419797E-2</v>
      </c>
      <c r="E26">
        <f t="shared" si="5"/>
        <v>1.403756</v>
      </c>
      <c r="F26" t="str">
        <f t="shared" si="6"/>
        <v>0.064 lys__L_c</v>
      </c>
      <c r="H26" s="25"/>
      <c r="I26" s="25"/>
      <c r="J26" s="25"/>
      <c r="K26" s="25"/>
      <c r="L26" s="25"/>
      <c r="M26" s="25"/>
      <c r="N26" s="25"/>
      <c r="O26" s="25"/>
      <c r="P26" s="25"/>
    </row>
    <row r="27" spans="1:16" x14ac:dyDescent="0.3">
      <c r="A27" t="s">
        <v>80</v>
      </c>
      <c r="B27">
        <v>146</v>
      </c>
      <c r="C27">
        <f t="shared" si="3"/>
        <v>0.14599999999999999</v>
      </c>
      <c r="D27" s="7">
        <f t="shared" si="4"/>
        <v>2.8734501082464083E-2</v>
      </c>
      <c r="E27">
        <f t="shared" si="5"/>
        <v>0.62867600000000001</v>
      </c>
      <c r="F27" t="str">
        <f t="shared" si="6"/>
        <v>0.029 met__L_c</v>
      </c>
      <c r="H27" s="25"/>
      <c r="I27" s="25"/>
      <c r="J27" s="25"/>
      <c r="K27" s="25"/>
      <c r="L27" s="25"/>
      <c r="M27" s="25"/>
      <c r="N27" s="25"/>
      <c r="O27" s="25"/>
      <c r="P27" s="25"/>
    </row>
    <row r="28" spans="1:16" x14ac:dyDescent="0.3">
      <c r="A28" t="s">
        <v>81</v>
      </c>
      <c r="B28">
        <v>176</v>
      </c>
      <c r="C28">
        <f t="shared" si="3"/>
        <v>0.17599999999999999</v>
      </c>
      <c r="D28" s="7">
        <f t="shared" si="4"/>
        <v>3.4638850619956703E-2</v>
      </c>
      <c r="E28">
        <f t="shared" si="5"/>
        <v>0.75785599999999997</v>
      </c>
      <c r="F28" t="str">
        <f t="shared" si="6"/>
        <v>0.035 phen__L_c</v>
      </c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3">
      <c r="A29" t="s">
        <v>82</v>
      </c>
      <c r="B29">
        <v>210</v>
      </c>
      <c r="C29">
        <f t="shared" si="3"/>
        <v>0.21</v>
      </c>
      <c r="D29" s="7">
        <f t="shared" si="4"/>
        <v>4.1330446762448333E-2</v>
      </c>
      <c r="E29">
        <f t="shared" si="5"/>
        <v>0.90425999999999995</v>
      </c>
      <c r="F29" t="str">
        <f t="shared" si="6"/>
        <v>0.041 pro__L_c</v>
      </c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3">
      <c r="A30" t="s">
        <v>83</v>
      </c>
      <c r="B30">
        <v>205</v>
      </c>
      <c r="C30">
        <f t="shared" si="3"/>
        <v>0.20499999999999999</v>
      </c>
      <c r="D30" s="7">
        <f t="shared" si="4"/>
        <v>4.0346388506199565E-2</v>
      </c>
      <c r="E30">
        <f t="shared" si="5"/>
        <v>0.8827299999999999</v>
      </c>
      <c r="F30" t="str">
        <f t="shared" si="6"/>
        <v>0.040 ser__L_c</v>
      </c>
    </row>
    <row r="31" spans="1:16" ht="14.4" customHeight="1" x14ac:dyDescent="0.3">
      <c r="A31" t="s">
        <v>84</v>
      </c>
      <c r="B31">
        <v>241</v>
      </c>
      <c r="C31">
        <f t="shared" si="3"/>
        <v>0.24099999999999999</v>
      </c>
      <c r="D31" s="7">
        <f t="shared" si="4"/>
        <v>4.743160795119071E-2</v>
      </c>
      <c r="E31">
        <f t="shared" si="5"/>
        <v>1.0377460000000001</v>
      </c>
      <c r="F31" t="str">
        <f t="shared" si="6"/>
        <v>0.047 thr__L_c</v>
      </c>
      <c r="H31" s="25" t="str">
        <f>+_xlfn.CONCAT(H18," --&gt; ",F36)</f>
        <v>0.096 ala__L_c + 0.055 arg__L_c + 0.045 asn__L_c + 0.045 asp__L_c + 0.017 cys__L_c + 0.049 glu__L_c + 0.049 gln__L_c + 0.115 gly__L_c + 0.018 his__L_c + 0.054 ileu__L_c + 0.084 leu__L_c + 0.064 lys__L_c + 0.029 met__L_c + 0.035 phen__L_c + 0.041 pro__L_c + 0.040 ser__L_c + 0.047 thr__L_c + 0.011 tryp__L_c + 0.026 tyr__L_c + 0.079 val__L_c +  --&gt; 1.000 am__L_c</v>
      </c>
      <c r="I31" s="25"/>
      <c r="J31" s="25"/>
      <c r="K31" s="25"/>
      <c r="L31" s="25"/>
      <c r="M31" s="25"/>
      <c r="N31" s="25"/>
    </row>
    <row r="32" spans="1:16" x14ac:dyDescent="0.3">
      <c r="A32" t="s">
        <v>85</v>
      </c>
      <c r="B32">
        <v>54</v>
      </c>
      <c r="C32">
        <f t="shared" si="3"/>
        <v>5.3999999999999999E-2</v>
      </c>
      <c r="D32" s="7">
        <f t="shared" si="4"/>
        <v>1.0627829167486716E-2</v>
      </c>
      <c r="E32">
        <f t="shared" si="5"/>
        <v>0.23252400000000001</v>
      </c>
      <c r="F32" t="str">
        <f t="shared" si="6"/>
        <v>0.011 tryp__L_c</v>
      </c>
      <c r="H32" s="25"/>
      <c r="I32" s="25"/>
      <c r="J32" s="25"/>
      <c r="K32" s="25"/>
      <c r="L32" s="25"/>
      <c r="M32" s="25"/>
      <c r="N32" s="25"/>
    </row>
    <row r="33" spans="1:17" x14ac:dyDescent="0.3">
      <c r="A33" t="s">
        <v>86</v>
      </c>
      <c r="B33">
        <v>131</v>
      </c>
      <c r="C33">
        <f t="shared" si="3"/>
        <v>0.13100000000000001</v>
      </c>
      <c r="D33" s="7">
        <f t="shared" si="4"/>
        <v>2.5782326313717772E-2</v>
      </c>
      <c r="E33">
        <f t="shared" si="5"/>
        <v>0.56408599999999998</v>
      </c>
      <c r="F33" t="str">
        <f t="shared" si="6"/>
        <v>0.026 tyr__L_c</v>
      </c>
      <c r="H33" s="25"/>
      <c r="I33" s="25"/>
      <c r="J33" s="25"/>
      <c r="K33" s="25"/>
      <c r="L33" s="25"/>
      <c r="M33" s="25"/>
      <c r="N33" s="25"/>
    </row>
    <row r="34" spans="1:17" x14ac:dyDescent="0.3">
      <c r="A34" t="s">
        <v>87</v>
      </c>
      <c r="B34">
        <v>402</v>
      </c>
      <c r="C34">
        <f t="shared" si="3"/>
        <v>0.40200000000000002</v>
      </c>
      <c r="D34" s="7">
        <f t="shared" si="4"/>
        <v>7.9118283802401101E-2</v>
      </c>
      <c r="E34">
        <f t="shared" si="5"/>
        <v>1.7310120000000002</v>
      </c>
      <c r="F34" t="str">
        <f t="shared" si="6"/>
        <v>0.079 val__L_c</v>
      </c>
      <c r="H34" s="25"/>
      <c r="I34" s="25"/>
      <c r="J34" s="25"/>
      <c r="K34" s="25"/>
      <c r="L34" s="25"/>
      <c r="M34" s="25"/>
      <c r="N34" s="25"/>
    </row>
    <row r="35" spans="1:17" x14ac:dyDescent="0.3">
      <c r="A35" t="s">
        <v>14</v>
      </c>
      <c r="B35">
        <f>+SUM(B15:B34)</f>
        <v>5081</v>
      </c>
      <c r="C35">
        <f>+SUM(C15:C34)</f>
        <v>5.0810000000000004</v>
      </c>
      <c r="D35">
        <f>+SUM(D15:D34)</f>
        <v>1</v>
      </c>
      <c r="E35">
        <f>+SUM(E15:E34)</f>
        <v>21.878785999999998</v>
      </c>
      <c r="F35" t="str">
        <f t="shared" si="6"/>
        <v>1.000 Total</v>
      </c>
      <c r="H35" s="25"/>
      <c r="I35" s="25"/>
      <c r="J35" s="25"/>
      <c r="K35" s="25"/>
      <c r="L35" s="25"/>
      <c r="M35" s="25"/>
      <c r="N35" s="25"/>
    </row>
    <row r="36" spans="1:17" x14ac:dyDescent="0.3">
      <c r="A36" t="s">
        <v>68</v>
      </c>
      <c r="B36">
        <f>+B35</f>
        <v>5081</v>
      </c>
      <c r="C36">
        <f t="shared" si="3"/>
        <v>5.0810000000000004</v>
      </c>
      <c r="D36" s="7">
        <f>+D35</f>
        <v>1</v>
      </c>
      <c r="E36">
        <v>0</v>
      </c>
      <c r="F36" t="str">
        <f t="shared" si="6"/>
        <v>1.000 am__L_c</v>
      </c>
    </row>
    <row r="37" spans="1:17" x14ac:dyDescent="0.3">
      <c r="A37" t="s">
        <v>17</v>
      </c>
      <c r="B37" t="s">
        <v>22</v>
      </c>
    </row>
    <row r="38" spans="1:17" x14ac:dyDescent="0.3">
      <c r="A38" t="s">
        <v>18</v>
      </c>
      <c r="B38">
        <v>4</v>
      </c>
      <c r="H38" t="str">
        <f>+_xlfn.CONCAT("1.000 "," ",A36," + ",TEXT(B42,"0.000")," ATP  --&gt; ","1 PROT_biomass")</f>
        <v>1.000  am__L_c + 4.306 ATP  --&gt; 1 PROT_biomass</v>
      </c>
    </row>
    <row r="39" spans="1:17" x14ac:dyDescent="0.3">
      <c r="A39" t="s">
        <v>19</v>
      </c>
      <c r="B39">
        <v>0.2</v>
      </c>
    </row>
    <row r="40" spans="1:17" x14ac:dyDescent="0.3">
      <c r="A40" t="s">
        <v>20</v>
      </c>
      <c r="B40">
        <v>0.1</v>
      </c>
      <c r="H40" t="str">
        <f>+_xlfn.CONCAT(C35," PROT_biomass --&gt;  ",TEXT(B2,"0,000")," Biomass")</f>
        <v>5,081 PROT_biomass --&gt;  0,550 Biomass</v>
      </c>
    </row>
    <row r="41" spans="1:17" x14ac:dyDescent="0.3">
      <c r="A41" t="s">
        <v>21</v>
      </c>
      <c r="B41">
        <v>6.0000000000000001E-3</v>
      </c>
    </row>
    <row r="42" spans="1:17" x14ac:dyDescent="0.3">
      <c r="A42" t="s">
        <v>14</v>
      </c>
      <c r="B42">
        <f>+SUM(B38:B41)</f>
        <v>4.306</v>
      </c>
    </row>
    <row r="45" spans="1:17" x14ac:dyDescent="0.3">
      <c r="A45" t="s">
        <v>0</v>
      </c>
      <c r="C45" t="s">
        <v>119</v>
      </c>
      <c r="D45" t="s">
        <v>120</v>
      </c>
      <c r="E45" t="s">
        <v>122</v>
      </c>
      <c r="F45" t="s">
        <v>121</v>
      </c>
      <c r="G45" t="s">
        <v>124</v>
      </c>
      <c r="I45" t="s">
        <v>119</v>
      </c>
      <c r="J45" t="s">
        <v>120</v>
      </c>
      <c r="K45" t="s">
        <v>122</v>
      </c>
      <c r="L45" t="s">
        <v>121</v>
      </c>
      <c r="M45" t="s">
        <v>124</v>
      </c>
    </row>
    <row r="46" spans="1:17" x14ac:dyDescent="0.3">
      <c r="A46" t="s">
        <v>67</v>
      </c>
      <c r="C46">
        <v>3</v>
      </c>
      <c r="D46">
        <v>7</v>
      </c>
      <c r="E46">
        <v>1</v>
      </c>
      <c r="F46">
        <v>2</v>
      </c>
      <c r="H46" s="2">
        <f>+D15</f>
        <v>9.6044085809879942E-2</v>
      </c>
      <c r="I46">
        <f>+$H46*C46</f>
        <v>0.28813225742963983</v>
      </c>
      <c r="J46">
        <f>+$H46*D46</f>
        <v>0.67230860066915965</v>
      </c>
      <c r="K46">
        <f>+$H46*E46</f>
        <v>9.6044085809879942E-2</v>
      </c>
      <c r="L46">
        <f t="shared" ref="J46:M61" si="7">+$H46*F46</f>
        <v>0.19208817161975988</v>
      </c>
      <c r="M46">
        <f t="shared" si="7"/>
        <v>0</v>
      </c>
      <c r="P46" t="str">
        <f>+"C"&amp;C46&amp;"H"&amp;D46&amp;"N"&amp;E46&amp;"O"&amp;F46</f>
        <v>C3H7N1O2</v>
      </c>
      <c r="Q46" t="str">
        <f>+A46</f>
        <v>ala__L_c</v>
      </c>
    </row>
    <row r="47" spans="1:17" x14ac:dyDescent="0.3">
      <c r="A47" t="s">
        <v>69</v>
      </c>
      <c r="C47">
        <v>6</v>
      </c>
      <c r="D47">
        <v>14</v>
      </c>
      <c r="E47">
        <v>4</v>
      </c>
      <c r="F47">
        <v>2</v>
      </c>
      <c r="H47" s="2">
        <f t="shared" ref="H47:H65" si="8">+D16</f>
        <v>5.530407400118087E-2</v>
      </c>
      <c r="I47">
        <f t="shared" ref="I47:I65" si="9">+$H47*C47</f>
        <v>0.33182444400708522</v>
      </c>
      <c r="J47">
        <f t="shared" si="7"/>
        <v>0.77425703601653217</v>
      </c>
      <c r="K47">
        <f t="shared" si="7"/>
        <v>0.22121629600472348</v>
      </c>
      <c r="L47">
        <f t="shared" si="7"/>
        <v>0.11060814800236174</v>
      </c>
      <c r="M47">
        <f t="shared" si="7"/>
        <v>0</v>
      </c>
      <c r="P47" t="str">
        <f t="shared" ref="P47:P66" si="10">+"C"&amp;C47&amp;"H"&amp;D47&amp;"N"&amp;E47&amp;"O"&amp;F47</f>
        <v>C6H14N4O2</v>
      </c>
      <c r="Q47" t="str">
        <f t="shared" ref="Q47:Q66" si="11">+A47</f>
        <v>arg__L_c</v>
      </c>
    </row>
    <row r="48" spans="1:17" x14ac:dyDescent="0.3">
      <c r="A48" t="s">
        <v>70</v>
      </c>
      <c r="C48">
        <v>4</v>
      </c>
      <c r="D48">
        <v>8</v>
      </c>
      <c r="E48">
        <v>2</v>
      </c>
      <c r="F48">
        <v>3</v>
      </c>
      <c r="H48" s="2">
        <f t="shared" si="8"/>
        <v>4.506986813619366E-2</v>
      </c>
      <c r="I48">
        <f t="shared" si="9"/>
        <v>0.18027947254477464</v>
      </c>
      <c r="J48">
        <f t="shared" si="7"/>
        <v>0.36055894508954928</v>
      </c>
      <c r="K48">
        <f t="shared" si="7"/>
        <v>9.0139736272387319E-2</v>
      </c>
      <c r="L48">
        <f t="shared" si="7"/>
        <v>0.13520960440858099</v>
      </c>
      <c r="M48">
        <f t="shared" si="7"/>
        <v>0</v>
      </c>
      <c r="P48" t="str">
        <f t="shared" si="10"/>
        <v>C4H8N2O3</v>
      </c>
      <c r="Q48" t="str">
        <f t="shared" si="11"/>
        <v>asn__L_c</v>
      </c>
    </row>
    <row r="49" spans="1:17" x14ac:dyDescent="0.3">
      <c r="A49" t="s">
        <v>71</v>
      </c>
      <c r="C49">
        <v>4</v>
      </c>
      <c r="D49">
        <v>7</v>
      </c>
      <c r="E49">
        <v>1</v>
      </c>
      <c r="F49">
        <v>4</v>
      </c>
      <c r="H49" s="2">
        <f t="shared" si="8"/>
        <v>4.506986813619366E-2</v>
      </c>
      <c r="I49">
        <f t="shared" si="9"/>
        <v>0.18027947254477464</v>
      </c>
      <c r="J49">
        <f t="shared" si="7"/>
        <v>0.3154890769533556</v>
      </c>
      <c r="K49">
        <f t="shared" si="7"/>
        <v>4.506986813619366E-2</v>
      </c>
      <c r="L49">
        <f t="shared" si="7"/>
        <v>0.18027947254477464</v>
      </c>
      <c r="M49">
        <f t="shared" si="7"/>
        <v>0</v>
      </c>
      <c r="P49" t="str">
        <f t="shared" si="10"/>
        <v>C4H7N1O4</v>
      </c>
      <c r="Q49" t="str">
        <f t="shared" si="11"/>
        <v>asp__L_c</v>
      </c>
    </row>
    <row r="50" spans="1:17" x14ac:dyDescent="0.3">
      <c r="A50" t="s">
        <v>72</v>
      </c>
      <c r="C50">
        <v>3</v>
      </c>
      <c r="D50">
        <v>7</v>
      </c>
      <c r="E50">
        <v>1</v>
      </c>
      <c r="F50">
        <v>2</v>
      </c>
      <c r="G50">
        <v>2</v>
      </c>
      <c r="H50" s="2">
        <f t="shared" si="8"/>
        <v>1.7122613658728598E-2</v>
      </c>
      <c r="I50">
        <f t="shared" si="9"/>
        <v>5.1367840976185797E-2</v>
      </c>
      <c r="J50">
        <f t="shared" si="7"/>
        <v>0.11985829561110019</v>
      </c>
      <c r="K50">
        <f t="shared" si="7"/>
        <v>1.7122613658728598E-2</v>
      </c>
      <c r="L50">
        <f t="shared" si="7"/>
        <v>3.4245227317457196E-2</v>
      </c>
      <c r="M50">
        <f t="shared" si="7"/>
        <v>3.4245227317457196E-2</v>
      </c>
      <c r="P50" t="str">
        <f>+"C"&amp;C50&amp;"H"&amp;D50&amp;"N"&amp;E50&amp;"O"&amp;F50&amp;"S"&amp;G50</f>
        <v>C3H7N1O2S2</v>
      </c>
      <c r="Q50" t="str">
        <f t="shared" si="11"/>
        <v>cys__L_c</v>
      </c>
    </row>
    <row r="51" spans="1:17" x14ac:dyDescent="0.3">
      <c r="A51" t="s">
        <v>73</v>
      </c>
      <c r="C51">
        <v>5</v>
      </c>
      <c r="D51">
        <v>9</v>
      </c>
      <c r="E51">
        <v>1</v>
      </c>
      <c r="F51">
        <v>4</v>
      </c>
      <c r="H51" s="2">
        <f t="shared" si="8"/>
        <v>4.9202912812438493E-2</v>
      </c>
      <c r="I51">
        <f t="shared" si="9"/>
        <v>0.24601456406219246</v>
      </c>
      <c r="J51">
        <f t="shared" si="7"/>
        <v>0.44282621531194644</v>
      </c>
      <c r="K51">
        <f t="shared" si="7"/>
        <v>4.9202912812438493E-2</v>
      </c>
      <c r="L51">
        <f t="shared" si="7"/>
        <v>0.19681165124975397</v>
      </c>
      <c r="M51">
        <f t="shared" si="7"/>
        <v>0</v>
      </c>
      <c r="P51" t="str">
        <f t="shared" si="10"/>
        <v>C5H9N1O4</v>
      </c>
      <c r="Q51" t="str">
        <f t="shared" si="11"/>
        <v>glu__L_c</v>
      </c>
    </row>
    <row r="52" spans="1:17" x14ac:dyDescent="0.3">
      <c r="A52" t="s">
        <v>74</v>
      </c>
      <c r="C52">
        <v>5</v>
      </c>
      <c r="D52">
        <v>10</v>
      </c>
      <c r="E52">
        <v>2</v>
      </c>
      <c r="F52">
        <v>3</v>
      </c>
      <c r="H52" s="2">
        <f t="shared" si="8"/>
        <v>4.9202912812438493E-2</v>
      </c>
      <c r="I52">
        <f t="shared" si="9"/>
        <v>0.24601456406219246</v>
      </c>
      <c r="J52">
        <f t="shared" si="7"/>
        <v>0.49202912812438493</v>
      </c>
      <c r="K52">
        <f t="shared" si="7"/>
        <v>9.8405825624876986E-2</v>
      </c>
      <c r="L52">
        <f t="shared" si="7"/>
        <v>0.14760873843731548</v>
      </c>
      <c r="M52">
        <f t="shared" si="7"/>
        <v>0</v>
      </c>
      <c r="P52" t="str">
        <f t="shared" si="10"/>
        <v>C5H10N2O3</v>
      </c>
      <c r="Q52" t="str">
        <f t="shared" si="11"/>
        <v>gln__L_c</v>
      </c>
    </row>
    <row r="53" spans="1:17" x14ac:dyDescent="0.3">
      <c r="A53" t="s">
        <v>75</v>
      </c>
      <c r="C53">
        <v>2</v>
      </c>
      <c r="D53">
        <v>5</v>
      </c>
      <c r="E53">
        <v>1</v>
      </c>
      <c r="F53">
        <v>2</v>
      </c>
      <c r="H53" s="2">
        <f t="shared" si="8"/>
        <v>0.11454438102735683</v>
      </c>
      <c r="I53">
        <f t="shared" si="9"/>
        <v>0.22908876205471365</v>
      </c>
      <c r="J53">
        <f t="shared" si="7"/>
        <v>0.57272190513678412</v>
      </c>
      <c r="K53">
        <f t="shared" si="7"/>
        <v>0.11454438102735683</v>
      </c>
      <c r="L53">
        <f t="shared" si="7"/>
        <v>0.22908876205471365</v>
      </c>
      <c r="M53">
        <f t="shared" si="7"/>
        <v>0</v>
      </c>
      <c r="P53" t="str">
        <f t="shared" si="10"/>
        <v>C2H5N1O2</v>
      </c>
      <c r="Q53" t="str">
        <f t="shared" si="11"/>
        <v>gly__L_c</v>
      </c>
    </row>
    <row r="54" spans="1:17" x14ac:dyDescent="0.3">
      <c r="A54" t="s">
        <v>76</v>
      </c>
      <c r="C54">
        <v>6</v>
      </c>
      <c r="D54">
        <v>9</v>
      </c>
      <c r="E54">
        <v>3</v>
      </c>
      <c r="F54">
        <v>2</v>
      </c>
      <c r="H54" s="2">
        <f t="shared" si="8"/>
        <v>1.7713048612477859E-2</v>
      </c>
      <c r="I54">
        <f t="shared" si="9"/>
        <v>0.10627829167486716</v>
      </c>
      <c r="J54">
        <f t="shared" si="7"/>
        <v>0.15941743751230072</v>
      </c>
      <c r="K54">
        <f t="shared" si="7"/>
        <v>5.313914583743358E-2</v>
      </c>
      <c r="L54">
        <f t="shared" si="7"/>
        <v>3.5426097224955717E-2</v>
      </c>
      <c r="M54">
        <f t="shared" si="7"/>
        <v>0</v>
      </c>
      <c r="P54" t="str">
        <f t="shared" si="10"/>
        <v>C6H9N3O2</v>
      </c>
      <c r="Q54" t="str">
        <f t="shared" si="11"/>
        <v>his__L_c</v>
      </c>
    </row>
    <row r="55" spans="1:17" x14ac:dyDescent="0.3">
      <c r="A55" t="s">
        <v>77</v>
      </c>
      <c r="C55">
        <v>6</v>
      </c>
      <c r="D55">
        <v>13</v>
      </c>
      <c r="E55">
        <v>1</v>
      </c>
      <c r="F55">
        <v>2</v>
      </c>
      <c r="H55" s="2">
        <f t="shared" si="8"/>
        <v>5.4320015744932101E-2</v>
      </c>
      <c r="I55">
        <f t="shared" si="9"/>
        <v>0.32592009446959258</v>
      </c>
      <c r="J55">
        <f t="shared" si="7"/>
        <v>0.70616020468411733</v>
      </c>
      <c r="K55">
        <f t="shared" si="7"/>
        <v>5.4320015744932101E-2</v>
      </c>
      <c r="L55">
        <f t="shared" si="7"/>
        <v>0.1086400314898642</v>
      </c>
      <c r="M55">
        <f t="shared" si="7"/>
        <v>0</v>
      </c>
      <c r="P55" t="str">
        <f t="shared" si="10"/>
        <v>C6H13N1O2</v>
      </c>
      <c r="Q55" t="str">
        <f t="shared" si="11"/>
        <v>ileu__L_c</v>
      </c>
    </row>
    <row r="56" spans="1:17" x14ac:dyDescent="0.3">
      <c r="A56" t="s">
        <v>78</v>
      </c>
      <c r="C56">
        <v>6</v>
      </c>
      <c r="D56">
        <v>13</v>
      </c>
      <c r="E56">
        <v>1</v>
      </c>
      <c r="F56">
        <v>2</v>
      </c>
      <c r="H56" s="2">
        <f t="shared" si="8"/>
        <v>8.423538673489471E-2</v>
      </c>
      <c r="I56">
        <f t="shared" si="9"/>
        <v>0.50541232040936823</v>
      </c>
      <c r="J56">
        <f t="shared" si="7"/>
        <v>1.0950600275536313</v>
      </c>
      <c r="K56">
        <f t="shared" si="7"/>
        <v>8.423538673489471E-2</v>
      </c>
      <c r="L56">
        <f t="shared" si="7"/>
        <v>0.16847077346978942</v>
      </c>
      <c r="M56">
        <f t="shared" si="7"/>
        <v>0</v>
      </c>
      <c r="P56" t="str">
        <f t="shared" si="10"/>
        <v>C6H13N1O2</v>
      </c>
      <c r="Q56" t="str">
        <f t="shared" si="11"/>
        <v>leu__L_c</v>
      </c>
    </row>
    <row r="57" spans="1:17" x14ac:dyDescent="0.3">
      <c r="A57" t="s">
        <v>79</v>
      </c>
      <c r="C57">
        <v>6</v>
      </c>
      <c r="D57">
        <v>14</v>
      </c>
      <c r="E57">
        <v>2</v>
      </c>
      <c r="F57">
        <v>2</v>
      </c>
      <c r="H57" s="2">
        <f t="shared" si="8"/>
        <v>6.4160598307419797E-2</v>
      </c>
      <c r="I57">
        <f t="shared" si="9"/>
        <v>0.38496358984451878</v>
      </c>
      <c r="J57">
        <f t="shared" si="7"/>
        <v>0.89824837630387711</v>
      </c>
      <c r="K57">
        <f t="shared" si="7"/>
        <v>0.12832119661483959</v>
      </c>
      <c r="L57">
        <f t="shared" si="7"/>
        <v>0.12832119661483959</v>
      </c>
      <c r="M57">
        <f t="shared" si="7"/>
        <v>0</v>
      </c>
      <c r="P57" t="str">
        <f t="shared" si="10"/>
        <v>C6H14N2O2</v>
      </c>
      <c r="Q57" t="str">
        <f t="shared" si="11"/>
        <v>lys__L_c</v>
      </c>
    </row>
    <row r="58" spans="1:17" x14ac:dyDescent="0.3">
      <c r="A58" t="s">
        <v>80</v>
      </c>
      <c r="C58">
        <v>5</v>
      </c>
      <c r="D58">
        <v>11</v>
      </c>
      <c r="E58">
        <v>1</v>
      </c>
      <c r="F58">
        <v>2</v>
      </c>
      <c r="G58">
        <v>2</v>
      </c>
      <c r="H58" s="2">
        <f t="shared" si="8"/>
        <v>2.8734501082464083E-2</v>
      </c>
      <c r="I58">
        <f t="shared" si="9"/>
        <v>0.14367250541232041</v>
      </c>
      <c r="J58">
        <f t="shared" si="7"/>
        <v>0.31607951190710493</v>
      </c>
      <c r="K58">
        <f t="shared" si="7"/>
        <v>2.8734501082464083E-2</v>
      </c>
      <c r="L58">
        <f t="shared" si="7"/>
        <v>5.7469002164928167E-2</v>
      </c>
      <c r="M58">
        <f t="shared" si="7"/>
        <v>5.7469002164928167E-2</v>
      </c>
      <c r="P58" t="str">
        <f>+"C"&amp;C58&amp;"H"&amp;D58&amp;"N"&amp;E58&amp;"O"&amp;F58&amp;"S"&amp;G58</f>
        <v>C5H11N1O2S2</v>
      </c>
      <c r="Q58" t="str">
        <f t="shared" si="11"/>
        <v>met__L_c</v>
      </c>
    </row>
    <row r="59" spans="1:17" x14ac:dyDescent="0.3">
      <c r="A59" t="s">
        <v>81</v>
      </c>
      <c r="C59">
        <v>9</v>
      </c>
      <c r="D59">
        <v>11</v>
      </c>
      <c r="E59">
        <v>1</v>
      </c>
      <c r="F59">
        <v>2</v>
      </c>
      <c r="H59" s="2">
        <f t="shared" si="8"/>
        <v>3.4638850619956703E-2</v>
      </c>
      <c r="I59">
        <f t="shared" si="9"/>
        <v>0.31174965557961032</v>
      </c>
      <c r="J59">
        <f t="shared" si="7"/>
        <v>0.38102735681952371</v>
      </c>
      <c r="K59">
        <f t="shared" si="7"/>
        <v>3.4638850619956703E-2</v>
      </c>
      <c r="L59">
        <f t="shared" si="7"/>
        <v>6.9277701239913406E-2</v>
      </c>
      <c r="M59">
        <f t="shared" si="7"/>
        <v>0</v>
      </c>
      <c r="P59" t="str">
        <f t="shared" si="10"/>
        <v>C9H11N1O2</v>
      </c>
      <c r="Q59" t="str">
        <f t="shared" si="11"/>
        <v>phen__L_c</v>
      </c>
    </row>
    <row r="60" spans="1:17" x14ac:dyDescent="0.3">
      <c r="A60" t="s">
        <v>82</v>
      </c>
      <c r="C60">
        <v>5</v>
      </c>
      <c r="D60">
        <v>9</v>
      </c>
      <c r="E60">
        <v>1</v>
      </c>
      <c r="F60">
        <v>2</v>
      </c>
      <c r="H60" s="2">
        <f t="shared" si="8"/>
        <v>4.1330446762448333E-2</v>
      </c>
      <c r="I60">
        <f t="shared" si="9"/>
        <v>0.20665223381224168</v>
      </c>
      <c r="J60">
        <f t="shared" si="7"/>
        <v>0.37197402086203502</v>
      </c>
      <c r="K60">
        <f t="shared" si="7"/>
        <v>4.1330446762448333E-2</v>
      </c>
      <c r="L60">
        <f t="shared" si="7"/>
        <v>8.2660893524896667E-2</v>
      </c>
      <c r="M60">
        <f t="shared" si="7"/>
        <v>0</v>
      </c>
      <c r="P60" t="str">
        <f t="shared" si="10"/>
        <v>C5H9N1O2</v>
      </c>
      <c r="Q60" t="str">
        <f t="shared" si="11"/>
        <v>pro__L_c</v>
      </c>
    </row>
    <row r="61" spans="1:17" x14ac:dyDescent="0.3">
      <c r="A61" t="s">
        <v>83</v>
      </c>
      <c r="C61">
        <v>3</v>
      </c>
      <c r="D61">
        <v>7</v>
      </c>
      <c r="E61">
        <v>1</v>
      </c>
      <c r="F61">
        <v>3</v>
      </c>
      <c r="H61" s="2">
        <f t="shared" si="8"/>
        <v>4.0346388506199565E-2</v>
      </c>
      <c r="I61">
        <f t="shared" si="9"/>
        <v>0.1210391655185987</v>
      </c>
      <c r="J61">
        <f t="shared" si="7"/>
        <v>0.28242471954339698</v>
      </c>
      <c r="K61">
        <f t="shared" si="7"/>
        <v>4.0346388506199565E-2</v>
      </c>
      <c r="L61">
        <f t="shared" si="7"/>
        <v>0.1210391655185987</v>
      </c>
      <c r="M61">
        <f t="shared" si="7"/>
        <v>0</v>
      </c>
      <c r="P61" t="str">
        <f t="shared" si="10"/>
        <v>C3H7N1O3</v>
      </c>
      <c r="Q61" t="str">
        <f t="shared" si="11"/>
        <v>ser__L_c</v>
      </c>
    </row>
    <row r="62" spans="1:17" x14ac:dyDescent="0.3">
      <c r="A62" t="s">
        <v>84</v>
      </c>
      <c r="C62">
        <v>4</v>
      </c>
      <c r="D62">
        <v>9</v>
      </c>
      <c r="E62">
        <v>1</v>
      </c>
      <c r="F62">
        <v>3</v>
      </c>
      <c r="H62" s="2">
        <f t="shared" si="8"/>
        <v>4.743160795119071E-2</v>
      </c>
      <c r="I62">
        <f t="shared" si="9"/>
        <v>0.18972643180476284</v>
      </c>
      <c r="J62">
        <f t="shared" ref="J62:J65" si="12">+$H62*D62</f>
        <v>0.42688447156071641</v>
      </c>
      <c r="K62">
        <f t="shared" ref="K62:K65" si="13">+$H62*E62</f>
        <v>4.743160795119071E-2</v>
      </c>
      <c r="L62">
        <f t="shared" ref="L62:L65" si="14">+$H62*F62</f>
        <v>0.14229482385357212</v>
      </c>
      <c r="M62">
        <f t="shared" ref="M62:M65" si="15">+$H62*G62</f>
        <v>0</v>
      </c>
      <c r="P62" t="str">
        <f t="shared" si="10"/>
        <v>C4H9N1O3</v>
      </c>
      <c r="Q62" t="str">
        <f t="shared" si="11"/>
        <v>thr__L_c</v>
      </c>
    </row>
    <row r="63" spans="1:17" x14ac:dyDescent="0.3">
      <c r="A63" t="s">
        <v>85</v>
      </c>
      <c r="C63">
        <v>11</v>
      </c>
      <c r="D63">
        <v>12</v>
      </c>
      <c r="E63">
        <v>2</v>
      </c>
      <c r="F63">
        <v>2</v>
      </c>
      <c r="H63" s="2">
        <f t="shared" si="8"/>
        <v>1.0627829167486716E-2</v>
      </c>
      <c r="I63">
        <f t="shared" si="9"/>
        <v>0.11690612084235387</v>
      </c>
      <c r="J63">
        <f t="shared" si="12"/>
        <v>0.12753395000984058</v>
      </c>
      <c r="K63">
        <f t="shared" si="13"/>
        <v>2.1255658334973431E-2</v>
      </c>
      <c r="L63">
        <f t="shared" si="14"/>
        <v>2.1255658334973431E-2</v>
      </c>
      <c r="M63">
        <f t="shared" si="15"/>
        <v>0</v>
      </c>
      <c r="P63" t="str">
        <f t="shared" si="10"/>
        <v>C11H12N2O2</v>
      </c>
      <c r="Q63" t="str">
        <f t="shared" si="11"/>
        <v>tryp__L_c</v>
      </c>
    </row>
    <row r="64" spans="1:17" x14ac:dyDescent="0.3">
      <c r="A64" t="s">
        <v>86</v>
      </c>
      <c r="C64">
        <v>9</v>
      </c>
      <c r="D64">
        <v>11</v>
      </c>
      <c r="E64">
        <v>1</v>
      </c>
      <c r="F64">
        <v>3</v>
      </c>
      <c r="H64" s="2">
        <f t="shared" si="8"/>
        <v>2.5782326313717772E-2</v>
      </c>
      <c r="I64">
        <f t="shared" si="9"/>
        <v>0.23204093682345994</v>
      </c>
      <c r="J64">
        <f t="shared" si="12"/>
        <v>0.28360558945089548</v>
      </c>
      <c r="K64">
        <f t="shared" si="13"/>
        <v>2.5782326313717772E-2</v>
      </c>
      <c r="L64">
        <f t="shared" si="14"/>
        <v>7.7346978941153319E-2</v>
      </c>
      <c r="M64">
        <f t="shared" si="15"/>
        <v>0</v>
      </c>
      <c r="P64" t="str">
        <f t="shared" si="10"/>
        <v>C9H11N1O3</v>
      </c>
      <c r="Q64" t="str">
        <f t="shared" si="11"/>
        <v>tyr__L_c</v>
      </c>
    </row>
    <row r="65" spans="1:17" x14ac:dyDescent="0.3">
      <c r="A65" t="s">
        <v>87</v>
      </c>
      <c r="C65">
        <v>5</v>
      </c>
      <c r="D65">
        <v>11</v>
      </c>
      <c r="E65">
        <v>1</v>
      </c>
      <c r="F65">
        <v>2</v>
      </c>
      <c r="H65" s="2">
        <f t="shared" si="8"/>
        <v>7.9118283802401101E-2</v>
      </c>
      <c r="I65">
        <f t="shared" si="9"/>
        <v>0.39559141901200551</v>
      </c>
      <c r="J65">
        <f t="shared" si="12"/>
        <v>0.87030112182641206</v>
      </c>
      <c r="K65">
        <f t="shared" si="13"/>
        <v>7.9118283802401101E-2</v>
      </c>
      <c r="L65">
        <f t="shared" si="14"/>
        <v>0.1582365676048022</v>
      </c>
      <c r="M65">
        <f t="shared" si="15"/>
        <v>0</v>
      </c>
      <c r="P65" t="str">
        <f t="shared" si="10"/>
        <v>C5H11N1O2</v>
      </c>
      <c r="Q65" t="str">
        <f t="shared" si="11"/>
        <v>val__L_c</v>
      </c>
    </row>
    <row r="66" spans="1:17" x14ac:dyDescent="0.3">
      <c r="A66" t="s">
        <v>68</v>
      </c>
      <c r="C66">
        <f>ROUND(I66,2)</f>
        <v>4.79</v>
      </c>
      <c r="D66">
        <f t="shared" ref="D66:F66" si="16">ROUND(J66,2)</f>
        <v>9.67</v>
      </c>
      <c r="E66">
        <f t="shared" si="16"/>
        <v>1.37</v>
      </c>
      <c r="F66">
        <f t="shared" si="16"/>
        <v>2.4</v>
      </c>
      <c r="I66">
        <f>+SUM(I46:I65)</f>
        <v>4.7929541428852582</v>
      </c>
      <c r="J66">
        <f t="shared" ref="J66:M66" si="17">+SUM(J46:J65)</f>
        <v>9.6687659909466639</v>
      </c>
      <c r="K66">
        <f t="shared" si="17"/>
        <v>1.3703995276520371</v>
      </c>
      <c r="L66">
        <f t="shared" si="17"/>
        <v>2.3963786656170045</v>
      </c>
      <c r="M66">
        <f t="shared" si="17"/>
        <v>9.1714229482385362E-2</v>
      </c>
      <c r="P66" t="str">
        <f t="shared" si="10"/>
        <v>C4.79H9.67N1.37O2.4</v>
      </c>
      <c r="Q66" t="str">
        <f t="shared" si="11"/>
        <v>am__L_c</v>
      </c>
    </row>
    <row r="71" spans="1:17" x14ac:dyDescent="0.3">
      <c r="A71" t="s">
        <v>0</v>
      </c>
      <c r="B71" t="s">
        <v>119</v>
      </c>
      <c r="C71" t="s">
        <v>120</v>
      </c>
      <c r="D71" t="s">
        <v>122</v>
      </c>
      <c r="E71" t="s">
        <v>121</v>
      </c>
    </row>
    <row r="72" spans="1:17" x14ac:dyDescent="0.3">
      <c r="A72" t="s">
        <v>67</v>
      </c>
      <c r="F72" t="s">
        <v>143</v>
      </c>
    </row>
    <row r="73" spans="1:17" x14ac:dyDescent="0.3">
      <c r="A73" t="s">
        <v>69</v>
      </c>
      <c r="F73" t="s">
        <v>144</v>
      </c>
    </row>
    <row r="74" spans="1:17" x14ac:dyDescent="0.3">
      <c r="A74" t="s">
        <v>70</v>
      </c>
      <c r="F74" t="s">
        <v>145</v>
      </c>
    </row>
    <row r="75" spans="1:17" x14ac:dyDescent="0.3">
      <c r="A75" t="s">
        <v>71</v>
      </c>
      <c r="F75" t="s">
        <v>146</v>
      </c>
    </row>
    <row r="76" spans="1:17" x14ac:dyDescent="0.3">
      <c r="A76" t="s">
        <v>72</v>
      </c>
      <c r="F76" t="s">
        <v>147</v>
      </c>
    </row>
    <row r="77" spans="1:17" x14ac:dyDescent="0.3">
      <c r="A77" t="s">
        <v>73</v>
      </c>
      <c r="F77" t="s">
        <v>162</v>
      </c>
    </row>
    <row r="78" spans="1:17" x14ac:dyDescent="0.3">
      <c r="A78" t="s">
        <v>74</v>
      </c>
      <c r="F78" t="s">
        <v>148</v>
      </c>
    </row>
    <row r="79" spans="1:17" x14ac:dyDescent="0.3">
      <c r="A79" t="s">
        <v>75</v>
      </c>
      <c r="F79" t="s">
        <v>149</v>
      </c>
    </row>
    <row r="80" spans="1:17" x14ac:dyDescent="0.3">
      <c r="A80" t="s">
        <v>76</v>
      </c>
      <c r="F80" t="s">
        <v>150</v>
      </c>
    </row>
    <row r="81" spans="1:6" x14ac:dyDescent="0.3">
      <c r="A81" t="s">
        <v>77</v>
      </c>
      <c r="F81" t="s">
        <v>151</v>
      </c>
    </row>
    <row r="82" spans="1:6" x14ac:dyDescent="0.3">
      <c r="A82" t="s">
        <v>78</v>
      </c>
      <c r="F82" t="s">
        <v>152</v>
      </c>
    </row>
    <row r="83" spans="1:6" x14ac:dyDescent="0.3">
      <c r="A83" t="s">
        <v>79</v>
      </c>
      <c r="F83" t="s">
        <v>153</v>
      </c>
    </row>
    <row r="84" spans="1:6" x14ac:dyDescent="0.3">
      <c r="A84" t="s">
        <v>80</v>
      </c>
      <c r="F84" t="s">
        <v>154</v>
      </c>
    </row>
    <row r="85" spans="1:6" x14ac:dyDescent="0.3">
      <c r="A85" t="s">
        <v>81</v>
      </c>
      <c r="F85" t="s">
        <v>155</v>
      </c>
    </row>
    <row r="86" spans="1:6" x14ac:dyDescent="0.3">
      <c r="A86" t="s">
        <v>82</v>
      </c>
      <c r="F86" t="s">
        <v>156</v>
      </c>
    </row>
    <row r="87" spans="1:6" x14ac:dyDescent="0.3">
      <c r="A87" t="s">
        <v>83</v>
      </c>
      <c r="F87" t="s">
        <v>157</v>
      </c>
    </row>
    <row r="88" spans="1:6" x14ac:dyDescent="0.3">
      <c r="A88" t="s">
        <v>84</v>
      </c>
      <c r="F88" t="s">
        <v>158</v>
      </c>
    </row>
    <row r="89" spans="1:6" x14ac:dyDescent="0.3">
      <c r="A89" t="s">
        <v>85</v>
      </c>
      <c r="F89" t="s">
        <v>159</v>
      </c>
    </row>
    <row r="90" spans="1:6" x14ac:dyDescent="0.3">
      <c r="A90" t="s">
        <v>86</v>
      </c>
      <c r="F90" t="s">
        <v>160</v>
      </c>
    </row>
    <row r="91" spans="1:6" x14ac:dyDescent="0.3">
      <c r="A91" t="s">
        <v>87</v>
      </c>
      <c r="F91" t="s">
        <v>161</v>
      </c>
    </row>
  </sheetData>
  <mergeCells count="2">
    <mergeCell ref="H18:P29"/>
    <mergeCell ref="H31:N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72A3-0820-4F58-B582-3E629F3C37C0}">
  <dimension ref="A1:P50"/>
  <sheetViews>
    <sheetView tabSelected="1" topLeftCell="A13" zoomScale="107" zoomScaleNormal="100" workbookViewId="0">
      <selection activeCell="A31" sqref="A31:B34"/>
    </sheetView>
  </sheetViews>
  <sheetFormatPr baseColWidth="10" defaultRowHeight="14.4" x14ac:dyDescent="0.3"/>
  <sheetData>
    <row r="1" spans="1:8" x14ac:dyDescent="0.3">
      <c r="A1" t="s">
        <v>10</v>
      </c>
      <c r="C1" t="s">
        <v>34</v>
      </c>
    </row>
    <row r="2" spans="1:8" x14ac:dyDescent="0.3">
      <c r="A2" t="s">
        <v>0</v>
      </c>
      <c r="B2" s="1">
        <v>0.55000000000000004</v>
      </c>
      <c r="C2" s="1">
        <f>+B2</f>
        <v>0.55000000000000004</v>
      </c>
    </row>
    <row r="3" spans="1:8" x14ac:dyDescent="0.3">
      <c r="A3" t="s">
        <v>1</v>
      </c>
      <c r="B3" s="2">
        <v>0.20499999999999999</v>
      </c>
      <c r="C3" s="1">
        <f>+B3+C2</f>
        <v>0.755</v>
      </c>
    </row>
    <row r="4" spans="1:8" x14ac:dyDescent="0.3">
      <c r="A4" t="s">
        <v>2</v>
      </c>
      <c r="B4" s="2">
        <v>3.1E-2</v>
      </c>
      <c r="C4" s="1">
        <f t="shared" ref="C4:C10" si="0">+B4+C3</f>
        <v>0.78600000000000003</v>
      </c>
    </row>
    <row r="5" spans="1:8" x14ac:dyDescent="0.3">
      <c r="A5" t="s">
        <v>3</v>
      </c>
      <c r="B5" s="2">
        <v>9.0999999999999998E-2</v>
      </c>
      <c r="C5" s="1">
        <f t="shared" si="0"/>
        <v>0.877</v>
      </c>
    </row>
    <row r="6" spans="1:8" x14ac:dyDescent="0.3">
      <c r="A6" t="s">
        <v>4</v>
      </c>
      <c r="B6" s="2">
        <v>3.4000000000000002E-2</v>
      </c>
      <c r="C6" s="1">
        <f t="shared" si="0"/>
        <v>0.91100000000000003</v>
      </c>
    </row>
    <row r="7" spans="1:8" x14ac:dyDescent="0.3">
      <c r="A7" t="s">
        <v>5</v>
      </c>
      <c r="B7" s="2">
        <v>2.5000000000000001E-2</v>
      </c>
      <c r="C7" s="1">
        <f t="shared" si="0"/>
        <v>0.93600000000000005</v>
      </c>
    </row>
    <row r="8" spans="1:8" x14ac:dyDescent="0.3">
      <c r="A8" t="s">
        <v>6</v>
      </c>
      <c r="B8" s="2">
        <v>2.5000000000000001E-2</v>
      </c>
      <c r="C8" s="1">
        <f t="shared" si="0"/>
        <v>0.96100000000000008</v>
      </c>
    </row>
    <row r="9" spans="1:8" x14ac:dyDescent="0.3">
      <c r="A9" t="s">
        <v>7</v>
      </c>
      <c r="B9" s="2">
        <v>4.0000000000000001E-3</v>
      </c>
      <c r="C9" s="1">
        <f t="shared" si="0"/>
        <v>0.96500000000000008</v>
      </c>
    </row>
    <row r="10" spans="1:8" x14ac:dyDescent="0.3">
      <c r="A10" t="s">
        <v>8</v>
      </c>
      <c r="B10" s="2">
        <v>3.5000000000000003E-2</v>
      </c>
      <c r="C10" s="1">
        <f t="shared" si="0"/>
        <v>1</v>
      </c>
    </row>
    <row r="11" spans="1:8" x14ac:dyDescent="0.3">
      <c r="B11" s="1">
        <f>+SUM(B2:B10)</f>
        <v>1</v>
      </c>
    </row>
    <row r="14" spans="1:8" x14ac:dyDescent="0.3">
      <c r="A14" t="s">
        <v>24</v>
      </c>
      <c r="B14" t="s">
        <v>13</v>
      </c>
      <c r="C14" t="s">
        <v>16</v>
      </c>
      <c r="D14" t="s">
        <v>15</v>
      </c>
      <c r="E14" t="s">
        <v>23</v>
      </c>
    </row>
    <row r="15" spans="1:8" x14ac:dyDescent="0.3">
      <c r="A15" t="s">
        <v>58</v>
      </c>
      <c r="B15">
        <v>488</v>
      </c>
      <c r="C15">
        <f>+B15/1000</f>
        <v>0.48799999999999999</v>
      </c>
      <c r="D15" s="3">
        <f>+B15/$B$19</f>
        <v>0.39771801140994295</v>
      </c>
      <c r="E15">
        <f>+C15*(SUM($B$22:$B$25))</f>
        <v>0.66904799999999987</v>
      </c>
      <c r="F15" t="str">
        <f>+_xlfn.CONCAT(TEXT(D15,"0.000")," ",A15)</f>
        <v>0.398 damp_c</v>
      </c>
      <c r="H15" s="6" t="str" cm="1">
        <f t="array" ref="H15">+_xlfn.CONCAT(TRANSPOSE(F15:F18)&amp;" + ")</f>
        <v xml:space="preserve">0.398 damp_c + 0.229 dgmp_c + 0.187 dcmp_c + 0.187 dtmp_c + </v>
      </c>
    </row>
    <row r="16" spans="1:8" x14ac:dyDescent="0.3">
      <c r="A16" t="s">
        <v>59</v>
      </c>
      <c r="B16">
        <v>281</v>
      </c>
      <c r="C16">
        <f t="shared" ref="C16:C20" si="1">+B16/1000</f>
        <v>0.28100000000000003</v>
      </c>
      <c r="D16" s="3">
        <f>+B16/$B$19</f>
        <v>0.22901385493072535</v>
      </c>
      <c r="E16">
        <f>+C16*(SUM($B$22:$B$25))</f>
        <v>0.38525099999999995</v>
      </c>
      <c r="F16" t="str">
        <f t="shared" ref="F16:F18" si="2">+_xlfn.CONCAT(TEXT(D16,"0.000")," ",A16)</f>
        <v>0.229 dgmp_c</v>
      </c>
    </row>
    <row r="17" spans="1:16" x14ac:dyDescent="0.3">
      <c r="A17" t="s">
        <v>60</v>
      </c>
      <c r="B17">
        <v>229</v>
      </c>
      <c r="C17">
        <f t="shared" si="1"/>
        <v>0.22900000000000001</v>
      </c>
      <c r="D17" s="3">
        <f>+B17/$B$19</f>
        <v>0.18663406682966585</v>
      </c>
      <c r="E17">
        <f>+C17*(SUM($B$22:$B$25))</f>
        <v>0.31395899999999999</v>
      </c>
      <c r="F17" t="str">
        <f t="shared" si="2"/>
        <v>0.187 dcmp_c</v>
      </c>
    </row>
    <row r="18" spans="1:16" ht="14.4" customHeight="1" x14ac:dyDescent="0.3">
      <c r="A18" t="s">
        <v>61</v>
      </c>
      <c r="B18">
        <v>229</v>
      </c>
      <c r="C18">
        <f t="shared" si="1"/>
        <v>0.22900000000000001</v>
      </c>
      <c r="D18" s="3">
        <f>+B18/$B$19</f>
        <v>0.18663406682966585</v>
      </c>
      <c r="E18">
        <f>+C18*(SUM($B$22:$B$25))</f>
        <v>0.31395899999999999</v>
      </c>
      <c r="F18" t="str">
        <f t="shared" si="2"/>
        <v>0.187 dtmp_c</v>
      </c>
      <c r="I18" s="5"/>
      <c r="J18" s="5"/>
      <c r="K18" s="5"/>
      <c r="L18" s="5"/>
      <c r="M18" s="5"/>
      <c r="N18" s="5"/>
      <c r="O18" s="5"/>
      <c r="P18" s="5"/>
    </row>
    <row r="19" spans="1:16" x14ac:dyDescent="0.3">
      <c r="A19" t="s">
        <v>14</v>
      </c>
      <c r="B19">
        <f>+SUM(B15:B18)</f>
        <v>1227</v>
      </c>
      <c r="C19">
        <f>+SUM(C15:C18)</f>
        <v>1.2270000000000001</v>
      </c>
      <c r="D19">
        <f>+SUM(D15:D18)</f>
        <v>1</v>
      </c>
      <c r="E19">
        <f>+SUM(E15:E18)</f>
        <v>1.6822170000000001</v>
      </c>
      <c r="F19" t="str">
        <f>+_xlfn.CONCAT(TEXT(E19,"0.000")," ATP")</f>
        <v>1.682 ATP</v>
      </c>
      <c r="H19" s="6"/>
      <c r="I19" s="6"/>
      <c r="J19" s="6"/>
      <c r="K19" s="6"/>
      <c r="L19" s="6"/>
      <c r="M19" s="6"/>
      <c r="N19" s="6"/>
    </row>
    <row r="20" spans="1:16" x14ac:dyDescent="0.3">
      <c r="A20" t="s">
        <v>33</v>
      </c>
      <c r="B20">
        <f>+B19</f>
        <v>1227</v>
      </c>
      <c r="C20">
        <f t="shared" si="1"/>
        <v>1.2270000000000001</v>
      </c>
      <c r="D20" s="3">
        <f>+D19</f>
        <v>1</v>
      </c>
      <c r="E20">
        <v>0</v>
      </c>
      <c r="F20" t="str">
        <f>+_xlfn.CONCAT(TEXT(C20,"0.000")," ", A20)</f>
        <v>1.227 DNA_biomass</v>
      </c>
      <c r="H20" s="6" t="str">
        <f>+_xlfn.CONCAT(H15," --&gt; ",D20, " dnmp_c")</f>
        <v>0.398 damp_c + 0.229 dgmp_c + 0.187 dcmp_c + 0.187 dtmp_c +  --&gt; 1 dnmp_c</v>
      </c>
    </row>
    <row r="21" spans="1:16" x14ac:dyDescent="0.3">
      <c r="A21" t="s">
        <v>17</v>
      </c>
      <c r="B21" t="s">
        <v>25</v>
      </c>
      <c r="H21" t="str">
        <f>+_xlfn.CONCAT("1 dNTP + ", B27," ATP --&gt; 1 DNA_biomass",)</f>
        <v>1 dNTP + 1,372 ATP --&gt; 1 DNA_biomass</v>
      </c>
    </row>
    <row r="22" spans="1:16" x14ac:dyDescent="0.3">
      <c r="A22" t="s">
        <v>30</v>
      </c>
      <c r="B22">
        <v>1</v>
      </c>
    </row>
    <row r="23" spans="1:16" x14ac:dyDescent="0.3">
      <c r="A23" t="s">
        <v>26</v>
      </c>
      <c r="B23">
        <v>0.36</v>
      </c>
      <c r="H23" t="str">
        <f>+_xlfn.CONCAT(TEXT(C20,"0,000"), " DNA_biomass --&gt; ",TEXT(B4,"0,000")," Biomass")</f>
        <v>1,227 DNA_biomass --&gt; 0,031 Biomass</v>
      </c>
    </row>
    <row r="24" spans="1:16" x14ac:dyDescent="0.3">
      <c r="A24" t="s">
        <v>27</v>
      </c>
      <c r="B24">
        <v>6.0000000000000001E-3</v>
      </c>
    </row>
    <row r="25" spans="1:16" x14ac:dyDescent="0.3">
      <c r="A25" t="s">
        <v>28</v>
      </c>
      <c r="B25">
        <v>5.0000000000000001E-3</v>
      </c>
    </row>
    <row r="26" spans="1:16" x14ac:dyDescent="0.3">
      <c r="A26" t="s">
        <v>29</v>
      </c>
      <c r="B26">
        <v>1E-3</v>
      </c>
    </row>
    <row r="27" spans="1:16" x14ac:dyDescent="0.3">
      <c r="A27" t="s">
        <v>14</v>
      </c>
      <c r="B27">
        <f>+SUM(B22:B26)</f>
        <v>1.3719999999999997</v>
      </c>
    </row>
    <row r="30" spans="1:16" x14ac:dyDescent="0.3">
      <c r="A30" t="str">
        <f>+A14</f>
        <v>DNTP</v>
      </c>
      <c r="C30" t="s">
        <v>119</v>
      </c>
      <c r="D30" t="s">
        <v>120</v>
      </c>
      <c r="E30" t="s">
        <v>122</v>
      </c>
      <c r="F30" t="s">
        <v>121</v>
      </c>
      <c r="G30" t="s">
        <v>123</v>
      </c>
      <c r="I30" t="s">
        <v>119</v>
      </c>
      <c r="J30" t="s">
        <v>120</v>
      </c>
      <c r="K30" t="s">
        <v>122</v>
      </c>
      <c r="L30" t="s">
        <v>121</v>
      </c>
      <c r="M30" t="s">
        <v>124</v>
      </c>
    </row>
    <row r="31" spans="1:16" x14ac:dyDescent="0.3">
      <c r="A31" t="str">
        <f>+A15</f>
        <v>damp_c</v>
      </c>
      <c r="B31" t="s">
        <v>125</v>
      </c>
      <c r="C31">
        <v>10</v>
      </c>
      <c r="D31">
        <v>14</v>
      </c>
      <c r="E31">
        <v>5</v>
      </c>
      <c r="F31">
        <v>6</v>
      </c>
      <c r="G31">
        <v>1</v>
      </c>
      <c r="H31" s="2">
        <f>+D15</f>
        <v>0.39771801140994295</v>
      </c>
      <c r="I31">
        <f t="shared" ref="I31:J33" si="3">+$H31*C31</f>
        <v>3.9771801140994296</v>
      </c>
      <c r="J31">
        <f t="shared" si="3"/>
        <v>5.5680521597392012</v>
      </c>
      <c r="K31">
        <f>+$H31*E31</f>
        <v>1.9885900570497148</v>
      </c>
      <c r="L31">
        <f>+$H31*F31</f>
        <v>2.3863080684596576</v>
      </c>
      <c r="M31">
        <f t="shared" ref="M31:M34" si="4">+$H31*G31</f>
        <v>0.39771801140994295</v>
      </c>
    </row>
    <row r="32" spans="1:16" ht="15.6" x14ac:dyDescent="0.35">
      <c r="A32" t="str">
        <f t="shared" ref="A32:A34" si="5">+A16</f>
        <v>dgmp_c</v>
      </c>
      <c r="B32" t="s">
        <v>127</v>
      </c>
      <c r="C32">
        <v>10</v>
      </c>
      <c r="D32">
        <v>12</v>
      </c>
      <c r="E32">
        <v>5</v>
      </c>
      <c r="F32">
        <v>7</v>
      </c>
      <c r="G32">
        <v>1</v>
      </c>
      <c r="H32" s="2">
        <f t="shared" ref="H32:H34" si="6">+D16</f>
        <v>0.22901385493072535</v>
      </c>
      <c r="I32">
        <f t="shared" si="3"/>
        <v>2.2901385493072537</v>
      </c>
      <c r="J32">
        <f t="shared" si="3"/>
        <v>2.7481662591687042</v>
      </c>
      <c r="K32">
        <f>+$H32*E32</f>
        <v>1.1450692746536268</v>
      </c>
      <c r="L32">
        <f t="shared" ref="L32:L34" si="7">+$H32*F32</f>
        <v>1.6030969845150773</v>
      </c>
      <c r="M32">
        <f t="shared" si="4"/>
        <v>0.22901385493072535</v>
      </c>
    </row>
    <row r="33" spans="1:13" ht="15.6" x14ac:dyDescent="0.35">
      <c r="A33" t="str">
        <f t="shared" si="5"/>
        <v>dcmp_c</v>
      </c>
      <c r="B33" t="s">
        <v>128</v>
      </c>
      <c r="C33">
        <v>9</v>
      </c>
      <c r="D33">
        <v>14</v>
      </c>
      <c r="E33">
        <v>3</v>
      </c>
      <c r="F33">
        <v>7</v>
      </c>
      <c r="G33">
        <v>1</v>
      </c>
      <c r="H33" s="2">
        <f t="shared" si="6"/>
        <v>0.18663406682966585</v>
      </c>
      <c r="I33">
        <f t="shared" si="3"/>
        <v>1.6797066014669926</v>
      </c>
      <c r="J33">
        <f t="shared" si="3"/>
        <v>2.6128769356153221</v>
      </c>
      <c r="K33">
        <f>+$H33*E33</f>
        <v>0.55990220048899753</v>
      </c>
      <c r="L33">
        <f t="shared" si="7"/>
        <v>1.306438467807661</v>
      </c>
      <c r="M33">
        <f t="shared" si="4"/>
        <v>0.18663406682966585</v>
      </c>
    </row>
    <row r="34" spans="1:13" x14ac:dyDescent="0.3">
      <c r="A34" t="str">
        <f t="shared" si="5"/>
        <v>dtmp_c</v>
      </c>
      <c r="B34" t="s">
        <v>126</v>
      </c>
      <c r="C34">
        <v>10</v>
      </c>
      <c r="D34">
        <v>15</v>
      </c>
      <c r="E34">
        <v>2</v>
      </c>
      <c r="F34">
        <v>8</v>
      </c>
      <c r="G34">
        <v>1</v>
      </c>
      <c r="H34" s="2">
        <f t="shared" si="6"/>
        <v>0.18663406682966585</v>
      </c>
      <c r="I34">
        <f>+$H34*C34</f>
        <v>1.8663406682966586</v>
      </c>
      <c r="J34">
        <f t="shared" ref="J34" si="8">+$H34*D34</f>
        <v>2.7995110024449876</v>
      </c>
      <c r="K34">
        <f>+$H34*E34</f>
        <v>0.3732681336593317</v>
      </c>
      <c r="L34">
        <f t="shared" si="7"/>
        <v>1.4930725346373268</v>
      </c>
      <c r="M34">
        <f t="shared" si="4"/>
        <v>0.18663406682966585</v>
      </c>
    </row>
    <row r="35" spans="1:13" x14ac:dyDescent="0.3">
      <c r="H35" s="2"/>
      <c r="I35">
        <f>+SUM(I31:I34)</f>
        <v>9.8133659331703349</v>
      </c>
      <c r="J35">
        <f t="shared" ref="J35:M35" si="9">+SUM(J31:J34)</f>
        <v>13.728606356968214</v>
      </c>
      <c r="K35">
        <f t="shared" si="9"/>
        <v>4.0668296658516709</v>
      </c>
      <c r="L35">
        <f t="shared" si="9"/>
        <v>6.7889160554197234</v>
      </c>
      <c r="M35">
        <f t="shared" si="9"/>
        <v>1</v>
      </c>
    </row>
    <row r="36" spans="1:13" x14ac:dyDescent="0.3">
      <c r="H36" s="2"/>
    </row>
    <row r="37" spans="1:13" x14ac:dyDescent="0.3">
      <c r="H37" s="2"/>
    </row>
    <row r="38" spans="1:13" x14ac:dyDescent="0.3">
      <c r="H38" s="2"/>
    </row>
    <row r="39" spans="1:13" x14ac:dyDescent="0.3">
      <c r="H39" s="2"/>
    </row>
    <row r="40" spans="1:13" x14ac:dyDescent="0.3">
      <c r="H40" s="2"/>
    </row>
    <row r="41" spans="1:13" x14ac:dyDescent="0.3">
      <c r="H41" s="2"/>
    </row>
    <row r="42" spans="1:13" x14ac:dyDescent="0.3">
      <c r="H42" s="2"/>
    </row>
    <row r="43" spans="1:13" x14ac:dyDescent="0.3">
      <c r="H43" s="2"/>
    </row>
    <row r="44" spans="1:13" x14ac:dyDescent="0.3">
      <c r="H44" s="2"/>
    </row>
    <row r="45" spans="1:13" x14ac:dyDescent="0.3">
      <c r="H45" s="2"/>
    </row>
    <row r="46" spans="1:13" x14ac:dyDescent="0.3">
      <c r="H46" s="2"/>
    </row>
    <row r="47" spans="1:13" x14ac:dyDescent="0.3">
      <c r="H47" s="2"/>
    </row>
    <row r="48" spans="1:13" x14ac:dyDescent="0.3">
      <c r="H48" s="2"/>
    </row>
    <row r="49" spans="8:8" x14ac:dyDescent="0.3">
      <c r="H49" s="2"/>
    </row>
    <row r="50" spans="8:8" x14ac:dyDescent="0.3">
      <c r="H5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3E56-8ADB-4E98-876D-2E4AEE29527B}">
  <dimension ref="A1:M35"/>
  <sheetViews>
    <sheetView topLeftCell="A22" zoomScale="105" workbookViewId="0">
      <selection activeCell="A31" sqref="A31:B34"/>
    </sheetView>
  </sheetViews>
  <sheetFormatPr baseColWidth="10" defaultRowHeight="14.4" x14ac:dyDescent="0.3"/>
  <sheetData>
    <row r="1" spans="1:8" x14ac:dyDescent="0.3">
      <c r="A1" t="s">
        <v>10</v>
      </c>
    </row>
    <row r="2" spans="1:8" x14ac:dyDescent="0.3">
      <c r="A2" t="s">
        <v>0</v>
      </c>
      <c r="B2" s="1">
        <v>0.55000000000000004</v>
      </c>
    </row>
    <row r="3" spans="1:8" x14ac:dyDescent="0.3">
      <c r="A3" t="s">
        <v>1</v>
      </c>
      <c r="B3" s="2">
        <v>0.20499999999999999</v>
      </c>
    </row>
    <row r="4" spans="1:8" x14ac:dyDescent="0.3">
      <c r="A4" t="s">
        <v>2</v>
      </c>
      <c r="B4" s="2">
        <v>3.1E-2</v>
      </c>
    </row>
    <row r="5" spans="1:8" x14ac:dyDescent="0.3">
      <c r="A5" t="s">
        <v>3</v>
      </c>
      <c r="B5" s="2">
        <v>9.0999999999999998E-2</v>
      </c>
    </row>
    <row r="6" spans="1:8" x14ac:dyDescent="0.3">
      <c r="A6" t="s">
        <v>4</v>
      </c>
      <c r="B6" s="2">
        <v>3.4000000000000002E-2</v>
      </c>
    </row>
    <row r="7" spans="1:8" x14ac:dyDescent="0.3">
      <c r="A7" t="s">
        <v>5</v>
      </c>
      <c r="B7" s="2">
        <v>2.5000000000000001E-2</v>
      </c>
    </row>
    <row r="8" spans="1:8" x14ac:dyDescent="0.3">
      <c r="A8" t="s">
        <v>6</v>
      </c>
      <c r="B8" s="2">
        <v>2.5000000000000001E-2</v>
      </c>
    </row>
    <row r="9" spans="1:8" x14ac:dyDescent="0.3">
      <c r="A9" t="s">
        <v>7</v>
      </c>
      <c r="B9" s="2">
        <v>4.0000000000000001E-3</v>
      </c>
    </row>
    <row r="10" spans="1:8" x14ac:dyDescent="0.3">
      <c r="A10" t="s">
        <v>8</v>
      </c>
      <c r="B10" s="2">
        <v>3.5000000000000003E-2</v>
      </c>
    </row>
    <row r="11" spans="1:8" x14ac:dyDescent="0.3">
      <c r="B11" s="1">
        <f>+SUM(B2:B10)</f>
        <v>1</v>
      </c>
    </row>
    <row r="14" spans="1:8" x14ac:dyDescent="0.3">
      <c r="A14" t="s">
        <v>32</v>
      </c>
      <c r="B14" t="s">
        <v>13</v>
      </c>
      <c r="C14" t="s">
        <v>16</v>
      </c>
      <c r="D14" t="s">
        <v>15</v>
      </c>
      <c r="E14" t="s">
        <v>23</v>
      </c>
    </row>
    <row r="15" spans="1:8" x14ac:dyDescent="0.3">
      <c r="A15" t="s">
        <v>62</v>
      </c>
      <c r="B15">
        <v>165</v>
      </c>
      <c r="C15">
        <f>+B15/1000</f>
        <v>0.16500000000000001</v>
      </c>
      <c r="D15" s="3">
        <f>+B15/$B$19</f>
        <v>0.26190476190476192</v>
      </c>
      <c r="E15">
        <f>+C15*(SUM($B$22:$B$25))</f>
        <v>6.6000000000000003E-2</v>
      </c>
      <c r="F15" t="str">
        <f>+_xlfn.CONCAT(TEXT(D15,"0.000")," ",A15)</f>
        <v>0.262 amp_c</v>
      </c>
      <c r="H15" s="6" t="str" cm="1">
        <f t="array" ref="H15">+_xlfn.CONCAT(TRANSPOSE(F15:F18)&amp;" + ")</f>
        <v xml:space="preserve">0.262 amp_c + 0.322 gmp_c + 0.200 cmp_c + 0.216 ump_c + </v>
      </c>
    </row>
    <row r="16" spans="1:8" x14ac:dyDescent="0.3">
      <c r="A16" t="s">
        <v>63</v>
      </c>
      <c r="B16">
        <v>203</v>
      </c>
      <c r="C16">
        <f t="shared" ref="C16:C20" si="0">+B16/1000</f>
        <v>0.20300000000000001</v>
      </c>
      <c r="D16" s="3">
        <f>+B16/$B$19</f>
        <v>0.32222222222222224</v>
      </c>
      <c r="E16">
        <f>+C16*(SUM($B$22:$B$25))</f>
        <v>8.1200000000000008E-2</v>
      </c>
      <c r="F16" t="str">
        <f t="shared" ref="F16:F20" si="1">+_xlfn.CONCAT(TEXT(D16,"0.000")," ",A16)</f>
        <v>0.322 gmp_c</v>
      </c>
    </row>
    <row r="17" spans="1:13" x14ac:dyDescent="0.3">
      <c r="A17" t="s">
        <v>64</v>
      </c>
      <c r="B17">
        <v>126</v>
      </c>
      <c r="C17">
        <f t="shared" si="0"/>
        <v>0.126</v>
      </c>
      <c r="D17" s="3">
        <f>+B17/$B$19</f>
        <v>0.2</v>
      </c>
      <c r="E17">
        <f>+C17*(SUM($B$22:$B$25))</f>
        <v>5.04E-2</v>
      </c>
      <c r="F17" t="str">
        <f t="shared" si="1"/>
        <v>0.200 cmp_c</v>
      </c>
      <c r="M17" t="s">
        <v>129</v>
      </c>
    </row>
    <row r="18" spans="1:13" x14ac:dyDescent="0.3">
      <c r="A18" t="s">
        <v>65</v>
      </c>
      <c r="B18">
        <v>136</v>
      </c>
      <c r="C18">
        <f t="shared" si="0"/>
        <v>0.13600000000000001</v>
      </c>
      <c r="D18" s="3">
        <f>+B18/$B$19</f>
        <v>0.21587301587301588</v>
      </c>
      <c r="E18">
        <f>+C18*(SUM($B$22:$B$25))</f>
        <v>5.4400000000000004E-2</v>
      </c>
      <c r="F18" t="str">
        <f t="shared" si="1"/>
        <v>0.216 ump_c</v>
      </c>
    </row>
    <row r="19" spans="1:13" x14ac:dyDescent="0.3">
      <c r="A19" t="s">
        <v>14</v>
      </c>
      <c r="B19">
        <f>+SUM(B15:B18)</f>
        <v>630</v>
      </c>
      <c r="C19">
        <f>+SUM(C15:C18)</f>
        <v>0.63</v>
      </c>
      <c r="D19">
        <f>+SUM(D15:D18)</f>
        <v>1</v>
      </c>
      <c r="E19">
        <f>+SUM(E15:E18)</f>
        <v>0.252</v>
      </c>
      <c r="F19" t="str">
        <f t="shared" si="1"/>
        <v>1.000 Total</v>
      </c>
      <c r="H19" s="6"/>
    </row>
    <row r="20" spans="1:13" x14ac:dyDescent="0.3">
      <c r="A20" t="s">
        <v>66</v>
      </c>
      <c r="B20">
        <f>+B19</f>
        <v>630</v>
      </c>
      <c r="C20">
        <f t="shared" si="0"/>
        <v>0.63</v>
      </c>
      <c r="D20" s="3">
        <f>+D19</f>
        <v>1</v>
      </c>
      <c r="E20">
        <v>0</v>
      </c>
      <c r="F20" t="str">
        <f t="shared" si="1"/>
        <v>1.000 nmp_c</v>
      </c>
      <c r="H20" s="6" t="str">
        <f>+_xlfn.CONCAT(H15," --&gt; ",F20)</f>
        <v>0.262 amp_c + 0.322 gmp_c + 0.200 cmp_c + 0.216 ump_c +  --&gt; 1.000 nmp_c</v>
      </c>
    </row>
    <row r="21" spans="1:13" x14ac:dyDescent="0.3">
      <c r="A21" t="s">
        <v>17</v>
      </c>
      <c r="B21" t="s">
        <v>25</v>
      </c>
      <c r="H21" t="str">
        <f>+_xlfn.CONCAT(F20," + ",B27, " ATP --&gt; 1 RNA_biomass")</f>
        <v>1.000 nmp_c + 0.4 ATP --&gt; 1 RNA_biomass</v>
      </c>
    </row>
    <row r="22" spans="1:13" x14ac:dyDescent="0.3">
      <c r="A22" t="s">
        <v>30</v>
      </c>
      <c r="B22">
        <v>0.38</v>
      </c>
    </row>
    <row r="23" spans="1:13" x14ac:dyDescent="0.3">
      <c r="A23" t="s">
        <v>26</v>
      </c>
      <c r="B23">
        <v>0.02</v>
      </c>
      <c r="H23" t="str">
        <f>+_xlfn.CONCAT(TEXT(C20,"0,000"), " RNA_biomass --&gt; ",TEXT(B3,"0,000")," Biomass")</f>
        <v>0,630 RNA_biomass --&gt; 0,205 Biomass</v>
      </c>
    </row>
    <row r="27" spans="1:13" x14ac:dyDescent="0.3">
      <c r="A27" t="s">
        <v>14</v>
      </c>
      <c r="B27">
        <f>+SUM(B22:B26)</f>
        <v>0.4</v>
      </c>
    </row>
    <row r="30" spans="1:13" x14ac:dyDescent="0.3">
      <c r="A30" t="str">
        <f>+A14</f>
        <v>NTP</v>
      </c>
      <c r="C30" t="s">
        <v>119</v>
      </c>
      <c r="D30" t="s">
        <v>120</v>
      </c>
      <c r="E30" t="s">
        <v>122</v>
      </c>
      <c r="F30" t="s">
        <v>121</v>
      </c>
      <c r="G30" t="s">
        <v>123</v>
      </c>
      <c r="I30" t="s">
        <v>119</v>
      </c>
      <c r="J30" t="s">
        <v>120</v>
      </c>
      <c r="K30" t="s">
        <v>122</v>
      </c>
      <c r="L30" t="s">
        <v>121</v>
      </c>
      <c r="M30" t="s">
        <v>123</v>
      </c>
    </row>
    <row r="31" spans="1:13" x14ac:dyDescent="0.3">
      <c r="A31" t="str">
        <f>+A15</f>
        <v>amp_c</v>
      </c>
      <c r="B31" t="s">
        <v>130</v>
      </c>
      <c r="C31">
        <v>10</v>
      </c>
      <c r="D31">
        <v>14</v>
      </c>
      <c r="E31">
        <v>5</v>
      </c>
      <c r="F31">
        <v>7</v>
      </c>
      <c r="G31">
        <v>1</v>
      </c>
      <c r="H31" s="2">
        <f>+D15</f>
        <v>0.26190476190476192</v>
      </c>
      <c r="I31">
        <f t="shared" ref="I31:J33" si="2">+$H31*C31</f>
        <v>2.6190476190476191</v>
      </c>
      <c r="J31">
        <f t="shared" si="2"/>
        <v>3.666666666666667</v>
      </c>
      <c r="K31">
        <f>+$H31*E31</f>
        <v>1.3095238095238095</v>
      </c>
      <c r="L31">
        <f>+$H31*F31</f>
        <v>1.8333333333333335</v>
      </c>
      <c r="M31">
        <f t="shared" ref="L31:M34" si="3">+$H31*G31</f>
        <v>0.26190476190476192</v>
      </c>
    </row>
    <row r="32" spans="1:13" ht="15.6" x14ac:dyDescent="0.35">
      <c r="A32" t="str">
        <f t="shared" ref="A32:A34" si="4">+A16</f>
        <v>gmp_c</v>
      </c>
      <c r="B32" t="s">
        <v>131</v>
      </c>
      <c r="C32">
        <v>10</v>
      </c>
      <c r="D32">
        <v>12</v>
      </c>
      <c r="E32">
        <v>5</v>
      </c>
      <c r="F32">
        <v>8</v>
      </c>
      <c r="G32">
        <v>1</v>
      </c>
      <c r="H32" s="2">
        <f t="shared" ref="H32:H34" si="5">+D16</f>
        <v>0.32222222222222224</v>
      </c>
      <c r="I32">
        <f t="shared" si="2"/>
        <v>3.2222222222222223</v>
      </c>
      <c r="J32">
        <f t="shared" si="2"/>
        <v>3.8666666666666671</v>
      </c>
      <c r="K32">
        <f>+$H32*E32</f>
        <v>1.6111111111111112</v>
      </c>
      <c r="L32">
        <f t="shared" si="3"/>
        <v>2.5777777777777779</v>
      </c>
      <c r="M32">
        <f t="shared" si="3"/>
        <v>0.32222222222222224</v>
      </c>
    </row>
    <row r="33" spans="1:13" ht="15.6" x14ac:dyDescent="0.35">
      <c r="A33" t="str">
        <f t="shared" si="4"/>
        <v>cmp_c</v>
      </c>
      <c r="B33" t="s">
        <v>132</v>
      </c>
      <c r="C33">
        <v>9</v>
      </c>
      <c r="D33">
        <v>14</v>
      </c>
      <c r="E33">
        <v>3</v>
      </c>
      <c r="F33">
        <v>8</v>
      </c>
      <c r="G33">
        <v>1</v>
      </c>
      <c r="H33" s="2">
        <f t="shared" si="5"/>
        <v>0.2</v>
      </c>
      <c r="I33">
        <f t="shared" si="2"/>
        <v>1.8</v>
      </c>
      <c r="J33">
        <f t="shared" si="2"/>
        <v>2.8000000000000003</v>
      </c>
      <c r="K33">
        <f>+$H33*E33</f>
        <v>0.60000000000000009</v>
      </c>
      <c r="L33">
        <f t="shared" si="3"/>
        <v>1.6</v>
      </c>
      <c r="M33">
        <f t="shared" si="3"/>
        <v>0.2</v>
      </c>
    </row>
    <row r="34" spans="1:13" x14ac:dyDescent="0.3">
      <c r="A34" t="str">
        <f t="shared" si="4"/>
        <v>ump_c</v>
      </c>
      <c r="B34" t="s">
        <v>129</v>
      </c>
      <c r="C34">
        <v>10</v>
      </c>
      <c r="D34">
        <v>15</v>
      </c>
      <c r="E34">
        <v>2</v>
      </c>
      <c r="F34">
        <v>9</v>
      </c>
      <c r="G34">
        <v>1</v>
      </c>
      <c r="H34" s="2">
        <f t="shared" si="5"/>
        <v>0.21587301587301588</v>
      </c>
      <c r="I34">
        <f>+$H34*C34</f>
        <v>2.1587301587301591</v>
      </c>
      <c r="J34">
        <f t="shared" ref="J34" si="6">+$H34*D34</f>
        <v>3.2380952380952381</v>
      </c>
      <c r="K34">
        <f>+$H34*E34</f>
        <v>0.43174603174603177</v>
      </c>
      <c r="L34">
        <f t="shared" si="3"/>
        <v>1.9428571428571431</v>
      </c>
      <c r="M34">
        <f t="shared" si="3"/>
        <v>0.21587301587301588</v>
      </c>
    </row>
    <row r="35" spans="1:13" x14ac:dyDescent="0.3">
      <c r="I35">
        <f>+SUM(I31:I34)</f>
        <v>9.8000000000000007</v>
      </c>
      <c r="J35">
        <f t="shared" ref="J35:M35" si="7">+SUM(J31:J34)</f>
        <v>13.571428571428573</v>
      </c>
      <c r="K35">
        <f t="shared" si="7"/>
        <v>3.9523809523809526</v>
      </c>
      <c r="L35">
        <f t="shared" si="7"/>
        <v>7.9539682539682541</v>
      </c>
      <c r="M35">
        <f t="shared" si="7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0514-8E33-49FF-A9DD-51BAD13C2F03}">
  <dimension ref="A1:Q38"/>
  <sheetViews>
    <sheetView topLeftCell="A19" zoomScale="88" workbookViewId="0">
      <selection activeCell="O32" sqref="O32:P32"/>
    </sheetView>
  </sheetViews>
  <sheetFormatPr baseColWidth="10" defaultRowHeight="14.4" x14ac:dyDescent="0.3"/>
  <sheetData>
    <row r="1" spans="1:8" x14ac:dyDescent="0.3">
      <c r="A1" t="s">
        <v>0</v>
      </c>
      <c r="B1" s="1">
        <v>0.55000000000000004</v>
      </c>
    </row>
    <row r="2" spans="1:8" x14ac:dyDescent="0.3">
      <c r="A2" t="s">
        <v>1</v>
      </c>
      <c r="B2" s="2">
        <v>0.20499999999999999</v>
      </c>
    </row>
    <row r="3" spans="1:8" x14ac:dyDescent="0.3">
      <c r="A3" t="s">
        <v>2</v>
      </c>
      <c r="B3" s="2">
        <v>3.1E-2</v>
      </c>
    </row>
    <row r="4" spans="1:8" x14ac:dyDescent="0.3">
      <c r="A4" t="s">
        <v>3</v>
      </c>
      <c r="B4" s="2">
        <v>9.0999999999999998E-2</v>
      </c>
    </row>
    <row r="5" spans="1:8" x14ac:dyDescent="0.3">
      <c r="A5" t="s">
        <v>4</v>
      </c>
      <c r="B5" s="2">
        <v>3.4000000000000002E-2</v>
      </c>
    </row>
    <row r="6" spans="1:8" x14ac:dyDescent="0.3">
      <c r="A6" t="s">
        <v>5</v>
      </c>
      <c r="B6" s="2">
        <v>2.5000000000000001E-2</v>
      </c>
    </row>
    <row r="7" spans="1:8" x14ac:dyDescent="0.3">
      <c r="A7" t="s">
        <v>6</v>
      </c>
      <c r="B7" s="2">
        <v>2.5000000000000001E-2</v>
      </c>
    </row>
    <row r="8" spans="1:8" x14ac:dyDescent="0.3">
      <c r="A8" t="s">
        <v>7</v>
      </c>
      <c r="B8" s="2">
        <v>4.0000000000000001E-3</v>
      </c>
    </row>
    <row r="9" spans="1:8" x14ac:dyDescent="0.3">
      <c r="A9" t="s">
        <v>8</v>
      </c>
      <c r="B9" s="2">
        <v>3.5000000000000003E-2</v>
      </c>
    </row>
    <row r="10" spans="1:8" x14ac:dyDescent="0.3">
      <c r="B10" s="1">
        <f>+SUM(B1:B9)</f>
        <v>1</v>
      </c>
    </row>
    <row r="13" spans="1:8" x14ac:dyDescent="0.3">
      <c r="A13" t="s">
        <v>115</v>
      </c>
      <c r="B13" t="s">
        <v>13</v>
      </c>
      <c r="C13" t="s">
        <v>16</v>
      </c>
      <c r="D13" t="s">
        <v>15</v>
      </c>
      <c r="E13" t="s">
        <v>23</v>
      </c>
    </row>
    <row r="14" spans="1:8" x14ac:dyDescent="0.3">
      <c r="A14" t="s">
        <v>90</v>
      </c>
      <c r="B14">
        <v>161</v>
      </c>
      <c r="C14">
        <f>+B14/1000</f>
        <v>0.161</v>
      </c>
      <c r="D14" s="3">
        <f>+B14/$B$19</f>
        <v>0.31201550387596899</v>
      </c>
      <c r="F14" t="str">
        <f>+_xlfn.CONCAT(TEXT(D14,"0.000")," ",A14)</f>
        <v>0.312 gly_c</v>
      </c>
      <c r="H14" s="6" t="str" cm="1">
        <f t="array" ref="H14">+_xlfn.CONCAT(TRANSPOSE(F14:F16)&amp;" + ")</f>
        <v xml:space="preserve">0.312 gly_c + 0.188 etn_c + 0.760 oa_C + </v>
      </c>
    </row>
    <row r="15" spans="1:8" x14ac:dyDescent="0.3">
      <c r="A15" t="s">
        <v>91</v>
      </c>
      <c r="B15">
        <v>97</v>
      </c>
      <c r="C15">
        <f t="shared" ref="C15:C19" si="0">+B15/1000</f>
        <v>9.7000000000000003E-2</v>
      </c>
      <c r="D15" s="3">
        <f>+B15/$B$19</f>
        <v>0.18798449612403101</v>
      </c>
      <c r="F15" t="str">
        <f t="shared" ref="F15:F19" si="1">+_xlfn.CONCAT(TEXT(D15,"0.000")," ",A15)</f>
        <v>0.188 etn_c</v>
      </c>
    </row>
    <row r="16" spans="1:8" x14ac:dyDescent="0.3">
      <c r="A16" t="s">
        <v>92</v>
      </c>
      <c r="B16">
        <v>258</v>
      </c>
      <c r="C16">
        <f t="shared" si="0"/>
        <v>0.25800000000000001</v>
      </c>
      <c r="D16" s="3">
        <f>43%+33%</f>
        <v>0.76</v>
      </c>
      <c r="F16" t="str">
        <f t="shared" si="1"/>
        <v>0.760 oa_C</v>
      </c>
    </row>
    <row r="17" spans="1:17" x14ac:dyDescent="0.3">
      <c r="D17" s="3"/>
    </row>
    <row r="18" spans="1:17" x14ac:dyDescent="0.3">
      <c r="D18" s="1">
        <v>1</v>
      </c>
      <c r="H18" s="6"/>
    </row>
    <row r="19" spans="1:17" x14ac:dyDescent="0.3">
      <c r="A19" t="s">
        <v>93</v>
      </c>
      <c r="B19">
        <f>+B18+B15+B14+B16</f>
        <v>516</v>
      </c>
      <c r="C19">
        <f t="shared" si="0"/>
        <v>0.51600000000000001</v>
      </c>
      <c r="D19" s="3">
        <f>+D18</f>
        <v>1</v>
      </c>
      <c r="E19">
        <v>0</v>
      </c>
      <c r="F19" t="str">
        <f t="shared" si="1"/>
        <v>1.000 lip_c</v>
      </c>
      <c r="H19" s="6" t="str">
        <f>+_xlfn.CONCAT(H14," --&gt; ",F19)</f>
        <v>0.312 gly_c + 0.188 etn_c + 0.760 oa_C +  --&gt; 1.000 lip_c</v>
      </c>
    </row>
    <row r="20" spans="1:17" x14ac:dyDescent="0.3">
      <c r="A20" t="s">
        <v>94</v>
      </c>
      <c r="H20" t="str">
        <f>+_xlfn.CONCAT(F19," + ",B26, " --&gt; 1 lip_biomass")</f>
        <v>1.000 lip_c +  --&gt; 1 lip_biomass</v>
      </c>
    </row>
    <row r="22" spans="1:17" x14ac:dyDescent="0.3">
      <c r="H22" t="str">
        <f>+_xlfn.CONCAT(TEXT(C19,"0,000"), " LIP_biomass --&gt; ",TEXT(B4,"0,000")," Biomass")</f>
        <v>0,516 LIP_biomass --&gt; 0,091 Biomass</v>
      </c>
    </row>
    <row r="23" spans="1:17" x14ac:dyDescent="0.3">
      <c r="A23" t="s">
        <v>40</v>
      </c>
      <c r="B23" t="s">
        <v>9</v>
      </c>
      <c r="D23" t="s">
        <v>119</v>
      </c>
      <c r="E23" t="s">
        <v>120</v>
      </c>
      <c r="F23" t="s">
        <v>122</v>
      </c>
      <c r="G23" t="s">
        <v>121</v>
      </c>
    </row>
    <row r="24" spans="1:17" x14ac:dyDescent="0.3">
      <c r="A24" t="s">
        <v>89</v>
      </c>
      <c r="B24" s="3">
        <f>0.43+0.33</f>
        <v>0.76</v>
      </c>
      <c r="C24" t="str">
        <f>+_xlfn.CONCAT(TEXT(B24,"0.000")," ",A24)</f>
        <v>0.760 pal__a_c</v>
      </c>
      <c r="D24">
        <v>16</v>
      </c>
      <c r="E24">
        <v>32</v>
      </c>
      <c r="F24">
        <v>0</v>
      </c>
      <c r="G24">
        <v>2</v>
      </c>
      <c r="H24" t="str" cm="1">
        <f t="array" ref="H24">+_xlfn.CONCAT(TRANSPOSE(C24:C25)&amp;" + ", " --&gt; 1 ",A16)</f>
        <v>0.760 pal__a_c + 0.240 ole__a_c +  --&gt; 1 oa_C</v>
      </c>
      <c r="P24" t="s">
        <v>89</v>
      </c>
      <c r="Q24" t="str">
        <f>+"C"&amp;D24&amp;"H"&amp;E24&amp;"N"&amp;F24&amp;"O"&amp;G24</f>
        <v>C16H32N0O2</v>
      </c>
    </row>
    <row r="25" spans="1:17" x14ac:dyDescent="0.3">
      <c r="A25" t="s">
        <v>88</v>
      </c>
      <c r="B25" s="1">
        <v>0.24</v>
      </c>
      <c r="C25" t="str">
        <f>+_xlfn.CONCAT(TEXT(B25,"0.000")," ",A25)</f>
        <v>0.240 ole__a_c</v>
      </c>
      <c r="D25">
        <v>18</v>
      </c>
      <c r="E25">
        <v>34</v>
      </c>
      <c r="F25">
        <v>1</v>
      </c>
      <c r="G25">
        <v>2</v>
      </c>
      <c r="P25" t="s">
        <v>88</v>
      </c>
      <c r="Q25" t="str">
        <f>+"C"&amp;D25&amp;"H"&amp;E25&amp;"N"&amp;F25&amp;"O"&amp;G25</f>
        <v>C18H34N1O2</v>
      </c>
    </row>
    <row r="29" spans="1:17" x14ac:dyDescent="0.3">
      <c r="A29" t="str">
        <f>+A13</f>
        <v>lip</v>
      </c>
      <c r="C29" t="s">
        <v>119</v>
      </c>
      <c r="D29" t="s">
        <v>120</v>
      </c>
      <c r="E29" t="s">
        <v>122</v>
      </c>
      <c r="F29" t="s">
        <v>121</v>
      </c>
      <c r="G29" t="s">
        <v>123</v>
      </c>
      <c r="I29" t="s">
        <v>119</v>
      </c>
      <c r="J29" t="s">
        <v>120</v>
      </c>
      <c r="K29" t="s">
        <v>122</v>
      </c>
      <c r="L29" t="s">
        <v>121</v>
      </c>
      <c r="M29" t="s">
        <v>123</v>
      </c>
    </row>
    <row r="30" spans="1:17" ht="15.6" x14ac:dyDescent="0.35">
      <c r="A30" t="str">
        <f>+A14</f>
        <v>gly_c</v>
      </c>
      <c r="B30" t="s">
        <v>133</v>
      </c>
      <c r="C30">
        <v>3</v>
      </c>
      <c r="D30">
        <v>8</v>
      </c>
      <c r="E30">
        <v>0</v>
      </c>
      <c r="F30">
        <v>3</v>
      </c>
      <c r="G30">
        <v>0</v>
      </c>
      <c r="H30" s="2">
        <f>+D14</f>
        <v>0.31201550387596899</v>
      </c>
      <c r="I30">
        <f t="shared" ref="I30:J32" si="2">+$H30*C30</f>
        <v>0.93604651162790697</v>
      </c>
      <c r="J30">
        <f t="shared" si="2"/>
        <v>2.4961240310077519</v>
      </c>
      <c r="K30">
        <f t="shared" ref="K30:M33" si="3">+$H30*E30</f>
        <v>0</v>
      </c>
      <c r="L30">
        <f>+$H30*F30</f>
        <v>0.93604651162790697</v>
      </c>
      <c r="M30">
        <f t="shared" si="3"/>
        <v>0</v>
      </c>
    </row>
    <row r="31" spans="1:17" ht="15.6" x14ac:dyDescent="0.35">
      <c r="A31" t="str">
        <f t="shared" ref="A31:A32" si="4">+A15</f>
        <v>etn_c</v>
      </c>
      <c r="B31" t="s">
        <v>134</v>
      </c>
      <c r="C31">
        <v>2</v>
      </c>
      <c r="D31">
        <v>7</v>
      </c>
      <c r="E31">
        <v>1</v>
      </c>
      <c r="F31">
        <v>1</v>
      </c>
      <c r="G31">
        <v>1</v>
      </c>
      <c r="H31" s="2">
        <f t="shared" ref="H31:H33" si="5">+D15</f>
        <v>0.18798449612403101</v>
      </c>
      <c r="I31">
        <f t="shared" si="2"/>
        <v>0.37596899224806202</v>
      </c>
      <c r="J31">
        <f t="shared" si="2"/>
        <v>1.3158914728682172</v>
      </c>
      <c r="K31">
        <f t="shared" si="3"/>
        <v>0.18798449612403101</v>
      </c>
      <c r="L31">
        <f t="shared" si="3"/>
        <v>0.18798449612403101</v>
      </c>
      <c r="M31">
        <f t="shared" si="3"/>
        <v>0.18798449612403101</v>
      </c>
    </row>
    <row r="32" spans="1:17" x14ac:dyDescent="0.3">
      <c r="A32" t="str">
        <f t="shared" si="4"/>
        <v>oa_C</v>
      </c>
      <c r="C32">
        <f>+I38</f>
        <v>16.48</v>
      </c>
      <c r="D32">
        <f t="shared" ref="D32:G32" si="6">+J38</f>
        <v>32.480000000000004</v>
      </c>
      <c r="E32">
        <f t="shared" si="6"/>
        <v>0</v>
      </c>
      <c r="F32">
        <f t="shared" si="6"/>
        <v>2</v>
      </c>
      <c r="G32">
        <f t="shared" si="6"/>
        <v>0</v>
      </c>
      <c r="H32" s="2">
        <f t="shared" si="5"/>
        <v>0.76</v>
      </c>
      <c r="I32">
        <f t="shared" si="2"/>
        <v>12.524800000000001</v>
      </c>
      <c r="J32">
        <f t="shared" si="2"/>
        <v>24.684800000000003</v>
      </c>
      <c r="K32">
        <f t="shared" si="3"/>
        <v>0</v>
      </c>
      <c r="L32">
        <f t="shared" si="3"/>
        <v>1.52</v>
      </c>
      <c r="M32">
        <f t="shared" si="3"/>
        <v>0</v>
      </c>
      <c r="O32" t="s">
        <v>92</v>
      </c>
      <c r="P32" t="str">
        <f>+"C"&amp;C32&amp;"H"&amp;D32&amp;"N"&amp;E32&amp;"O"&amp;F32</f>
        <v>C16.48H32.48N0O2</v>
      </c>
    </row>
    <row r="33" spans="1:13" x14ac:dyDescent="0.3">
      <c r="H33" s="2">
        <f t="shared" si="5"/>
        <v>0</v>
      </c>
      <c r="I33">
        <f>+$H33*C33</f>
        <v>0</v>
      </c>
      <c r="J33">
        <f t="shared" ref="J33" si="7">+$H33*D33</f>
        <v>0</v>
      </c>
      <c r="K33">
        <f t="shared" si="3"/>
        <v>0</v>
      </c>
      <c r="L33">
        <f t="shared" si="3"/>
        <v>0</v>
      </c>
      <c r="M33">
        <f t="shared" si="3"/>
        <v>0</v>
      </c>
    </row>
    <row r="34" spans="1:13" x14ac:dyDescent="0.3">
      <c r="I34">
        <f>+SUM(I30:I33)</f>
        <v>13.83681550387597</v>
      </c>
      <c r="J34">
        <f t="shared" ref="J34:M34" si="8">+SUM(J30:J33)</f>
        <v>28.496815503875972</v>
      </c>
      <c r="K34">
        <f t="shared" si="8"/>
        <v>0.18798449612403101</v>
      </c>
      <c r="L34">
        <f t="shared" si="8"/>
        <v>2.6440310077519378</v>
      </c>
      <c r="M34">
        <f t="shared" si="8"/>
        <v>0.18798449612403101</v>
      </c>
    </row>
    <row r="35" spans="1:13" x14ac:dyDescent="0.3">
      <c r="C35" t="s">
        <v>119</v>
      </c>
      <c r="D35" t="s">
        <v>120</v>
      </c>
      <c r="E35" t="s">
        <v>122</v>
      </c>
      <c r="F35" t="s">
        <v>121</v>
      </c>
    </row>
    <row r="36" spans="1:13" x14ac:dyDescent="0.3">
      <c r="A36" t="str">
        <f>+A24</f>
        <v>pal__a_c</v>
      </c>
      <c r="C36">
        <f>+D24</f>
        <v>16</v>
      </c>
      <c r="D36">
        <f t="shared" ref="D36:F37" si="9">+E24</f>
        <v>32</v>
      </c>
      <c r="E36">
        <f t="shared" si="9"/>
        <v>0</v>
      </c>
      <c r="F36">
        <f t="shared" si="9"/>
        <v>2</v>
      </c>
      <c r="H36" s="1">
        <f>+B24</f>
        <v>0.76</v>
      </c>
      <c r="I36">
        <f>+$H36*C36</f>
        <v>12.16</v>
      </c>
      <c r="J36">
        <f t="shared" ref="J36:M36" si="10">+$H36*D36</f>
        <v>24.32</v>
      </c>
      <c r="K36">
        <f t="shared" si="10"/>
        <v>0</v>
      </c>
      <c r="L36">
        <f t="shared" si="10"/>
        <v>1.52</v>
      </c>
      <c r="M36">
        <f t="shared" si="10"/>
        <v>0</v>
      </c>
    </row>
    <row r="37" spans="1:13" x14ac:dyDescent="0.3">
      <c r="A37" t="str">
        <f>+A25</f>
        <v>ole__a_c</v>
      </c>
      <c r="C37">
        <f>+D25</f>
        <v>18</v>
      </c>
      <c r="D37">
        <f t="shared" si="9"/>
        <v>34</v>
      </c>
      <c r="E37">
        <v>0</v>
      </c>
      <c r="F37">
        <f t="shared" si="9"/>
        <v>2</v>
      </c>
      <c r="H37" s="1">
        <f>+B25</f>
        <v>0.24</v>
      </c>
      <c r="I37">
        <f>+$H37*C37</f>
        <v>4.32</v>
      </c>
      <c r="J37">
        <f t="shared" ref="J37" si="11">+$H37*D37</f>
        <v>8.16</v>
      </c>
      <c r="K37">
        <f t="shared" ref="K37" si="12">+$H37*E37</f>
        <v>0</v>
      </c>
      <c r="L37">
        <f t="shared" ref="L37" si="13">+$H37*F37</f>
        <v>0.48</v>
      </c>
      <c r="M37">
        <f t="shared" ref="M37" si="14">+$H37*G37</f>
        <v>0</v>
      </c>
    </row>
    <row r="38" spans="1:13" x14ac:dyDescent="0.3">
      <c r="I38">
        <f>+SUM(I36:I37)</f>
        <v>16.48</v>
      </c>
      <c r="J38">
        <f t="shared" ref="J38:M38" si="15">+SUM(J36:J37)</f>
        <v>32.480000000000004</v>
      </c>
      <c r="K38">
        <f t="shared" si="15"/>
        <v>0</v>
      </c>
      <c r="L38">
        <f t="shared" si="15"/>
        <v>2</v>
      </c>
      <c r="M38">
        <f t="shared" si="15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48A4-0E8C-4F6F-8C54-63A0B855D7FA}">
  <dimension ref="A1:M44"/>
  <sheetViews>
    <sheetView topLeftCell="A19" workbookViewId="0">
      <selection activeCell="A27" sqref="A27:B33"/>
    </sheetView>
  </sheetViews>
  <sheetFormatPr baseColWidth="10" defaultRowHeight="14.4" x14ac:dyDescent="0.3"/>
  <sheetData>
    <row r="1" spans="1:8" x14ac:dyDescent="0.3">
      <c r="A1" t="s">
        <v>0</v>
      </c>
      <c r="B1" s="1">
        <v>0.55000000000000004</v>
      </c>
    </row>
    <row r="2" spans="1:8" x14ac:dyDescent="0.3">
      <c r="A2" t="s">
        <v>1</v>
      </c>
      <c r="B2" s="2">
        <v>0.20499999999999999</v>
      </c>
    </row>
    <row r="3" spans="1:8" x14ac:dyDescent="0.3">
      <c r="A3" t="s">
        <v>2</v>
      </c>
      <c r="B3" s="2">
        <v>3.1E-2</v>
      </c>
    </row>
    <row r="4" spans="1:8" x14ac:dyDescent="0.3">
      <c r="A4" t="s">
        <v>3</v>
      </c>
      <c r="B4" s="2">
        <v>9.0999999999999998E-2</v>
      </c>
    </row>
    <row r="5" spans="1:8" x14ac:dyDescent="0.3">
      <c r="A5" t="s">
        <v>4</v>
      </c>
      <c r="B5" s="2">
        <v>3.4000000000000002E-2</v>
      </c>
    </row>
    <row r="6" spans="1:8" x14ac:dyDescent="0.3">
      <c r="A6" t="s">
        <v>5</v>
      </c>
      <c r="B6" s="2">
        <v>2.5000000000000001E-2</v>
      </c>
    </row>
    <row r="7" spans="1:8" x14ac:dyDescent="0.3">
      <c r="A7" t="s">
        <v>6</v>
      </c>
      <c r="B7" s="2">
        <v>2.5000000000000001E-2</v>
      </c>
    </row>
    <row r="8" spans="1:8" x14ac:dyDescent="0.3">
      <c r="A8" t="s">
        <v>7</v>
      </c>
      <c r="B8" s="2">
        <v>4.0000000000000001E-3</v>
      </c>
    </row>
    <row r="9" spans="1:8" x14ac:dyDescent="0.3">
      <c r="A9" t="s">
        <v>8</v>
      </c>
      <c r="B9" s="2">
        <v>3.5000000000000003E-2</v>
      </c>
    </row>
    <row r="10" spans="1:8" x14ac:dyDescent="0.3">
      <c r="B10" s="1">
        <f>+SUM(B1:B9)</f>
        <v>1</v>
      </c>
    </row>
    <row r="13" spans="1:8" x14ac:dyDescent="0.3">
      <c r="A13" t="s">
        <v>41</v>
      </c>
      <c r="B13" t="s">
        <v>13</v>
      </c>
      <c r="C13" t="s">
        <v>16</v>
      </c>
      <c r="D13" t="s">
        <v>15</v>
      </c>
      <c r="E13" t="s">
        <v>23</v>
      </c>
    </row>
    <row r="14" spans="1:8" x14ac:dyDescent="0.3">
      <c r="A14" t="s">
        <v>97</v>
      </c>
      <c r="B14">
        <v>16.8</v>
      </c>
      <c r="C14">
        <f>+B14/1000</f>
        <v>1.6800000000000002E-2</v>
      </c>
      <c r="D14" s="3">
        <f>+B14/$B$21</f>
        <v>0.1</v>
      </c>
      <c r="E14">
        <v>0</v>
      </c>
      <c r="F14" t="str">
        <f>+_xlfn.CONCAT(TEXT(D14,"0.000")," ",A14)</f>
        <v>0.100 g6p_c</v>
      </c>
      <c r="H14" s="6" t="str" cm="1">
        <f t="array" ref="H14">+_xlfn.CONCAT(TRANSPOSE(F14:F20)&amp;" + ")</f>
        <v xml:space="preserve">0.100 g6p_c + 0.100 glun6p_c + 0.150 etn_c + 0.050 rha_c + 0.150 h7p_c + 0.150 kdo8p_c + 0.300 mir__a_c + </v>
      </c>
    </row>
    <row r="15" spans="1:8" x14ac:dyDescent="0.3">
      <c r="A15" t="s">
        <v>98</v>
      </c>
      <c r="B15">
        <v>16.8</v>
      </c>
      <c r="C15">
        <f t="shared" ref="C15:C20" si="0">+B15/1000</f>
        <v>1.6800000000000002E-2</v>
      </c>
      <c r="D15" s="3">
        <f t="shared" ref="D15:D20" si="1">+B15/$B$21</f>
        <v>0.1</v>
      </c>
      <c r="E15">
        <v>0</v>
      </c>
      <c r="F15" t="str">
        <f t="shared" ref="F15:F21" si="2">+_xlfn.CONCAT(TEXT(D15,"0.000")," ",A15)</f>
        <v>0.100 glun6p_c</v>
      </c>
    </row>
    <row r="16" spans="1:8" x14ac:dyDescent="0.3">
      <c r="A16" t="s">
        <v>91</v>
      </c>
      <c r="B16">
        <v>25.2</v>
      </c>
      <c r="C16">
        <f t="shared" si="0"/>
        <v>2.52E-2</v>
      </c>
      <c r="D16" s="3">
        <f t="shared" si="1"/>
        <v>0.15</v>
      </c>
      <c r="E16">
        <v>1</v>
      </c>
      <c r="F16" t="str">
        <f t="shared" si="2"/>
        <v>0.150 etn_c</v>
      </c>
    </row>
    <row r="17" spans="1:13" x14ac:dyDescent="0.3">
      <c r="A17" t="s">
        <v>95</v>
      </c>
      <c r="B17">
        <v>8.4</v>
      </c>
      <c r="C17">
        <f t="shared" si="0"/>
        <v>8.4000000000000012E-3</v>
      </c>
      <c r="D17" s="3">
        <f t="shared" si="1"/>
        <v>0.05</v>
      </c>
      <c r="E17">
        <v>0</v>
      </c>
      <c r="F17" t="str">
        <f t="shared" si="2"/>
        <v>0.050 rha_c</v>
      </c>
    </row>
    <row r="18" spans="1:13" x14ac:dyDescent="0.3">
      <c r="A18" t="s">
        <v>99</v>
      </c>
      <c r="B18">
        <v>25.2</v>
      </c>
      <c r="C18">
        <f t="shared" si="0"/>
        <v>2.52E-2</v>
      </c>
      <c r="D18" s="3">
        <f t="shared" si="1"/>
        <v>0.15</v>
      </c>
      <c r="E18">
        <v>0</v>
      </c>
      <c r="F18" t="str">
        <f t="shared" si="2"/>
        <v>0.150 h7p_c</v>
      </c>
      <c r="H18" s="6"/>
    </row>
    <row r="19" spans="1:13" x14ac:dyDescent="0.3">
      <c r="A19" t="s">
        <v>100</v>
      </c>
      <c r="B19">
        <v>25.2</v>
      </c>
      <c r="C19">
        <f t="shared" si="0"/>
        <v>2.52E-2</v>
      </c>
      <c r="D19" s="3">
        <f t="shared" si="1"/>
        <v>0.15</v>
      </c>
      <c r="E19">
        <v>0</v>
      </c>
      <c r="F19" t="str">
        <f t="shared" si="2"/>
        <v>0.150 kdo8p_c</v>
      </c>
      <c r="H19" s="6" t="str">
        <f>+_xlfn.CONCAT(H14," --&gt; ",F21)</f>
        <v>0.100 g6p_c + 0.100 glun6p_c + 0.150 etn_c + 0.050 rha_c + 0.150 h7p_c + 0.150 kdo8p_c + 0.300 mir__a_c +  --&gt; 1.000 lps_c</v>
      </c>
    </row>
    <row r="20" spans="1:13" x14ac:dyDescent="0.3">
      <c r="A20" t="s">
        <v>96</v>
      </c>
      <c r="B20">
        <f>33.6+16.8</f>
        <v>50.400000000000006</v>
      </c>
      <c r="C20">
        <f t="shared" si="0"/>
        <v>5.0400000000000007E-2</v>
      </c>
      <c r="D20" s="3">
        <f t="shared" si="1"/>
        <v>0.30000000000000004</v>
      </c>
      <c r="E20">
        <v>1</v>
      </c>
      <c r="F20" t="str">
        <f t="shared" si="2"/>
        <v>0.300 mir__a_c</v>
      </c>
      <c r="H20" t="str">
        <f>+_xlfn.CONCAT(F21," --&gt;","1,000 lps_biomass")</f>
        <v>1.000 lps_c --&gt;1,000 lps_biomass</v>
      </c>
    </row>
    <row r="21" spans="1:13" x14ac:dyDescent="0.3">
      <c r="A21" t="s">
        <v>101</v>
      </c>
      <c r="B21">
        <f>+SUM(B14:B20)</f>
        <v>168</v>
      </c>
      <c r="C21" s="9">
        <f>+SUM(C14:C20)</f>
        <v>0.16800000000000001</v>
      </c>
      <c r="D21">
        <f t="shared" ref="D21" si="3">+SUM(D14:D20)</f>
        <v>1</v>
      </c>
      <c r="F21" t="str">
        <f t="shared" si="2"/>
        <v>1.000 lps_c</v>
      </c>
    </row>
    <row r="22" spans="1:13" x14ac:dyDescent="0.3">
      <c r="E22">
        <f>+SUMPRODUCT(E14:E20,D14:D20)</f>
        <v>0.45000000000000007</v>
      </c>
      <c r="H22" t="str">
        <f>+_xlfn.CONCAT(TEXT(C21,"0,000"), " LPS_biomass --&gt; ",TEXT(B5,"0,000")," Biomass")</f>
        <v>0,168 LPS_biomass --&gt; 0,034 Biomass</v>
      </c>
    </row>
    <row r="24" spans="1:13" x14ac:dyDescent="0.3">
      <c r="B24" s="3"/>
    </row>
    <row r="25" spans="1:13" x14ac:dyDescent="0.3">
      <c r="B25" s="1"/>
    </row>
    <row r="26" spans="1:13" x14ac:dyDescent="0.3">
      <c r="A26" t="str">
        <f>+A13</f>
        <v>LPS</v>
      </c>
      <c r="C26" t="s">
        <v>119</v>
      </c>
      <c r="D26" t="s">
        <v>120</v>
      </c>
      <c r="E26" t="s">
        <v>122</v>
      </c>
      <c r="F26" t="s">
        <v>121</v>
      </c>
      <c r="G26" t="s">
        <v>123</v>
      </c>
      <c r="I26" t="s">
        <v>119</v>
      </c>
      <c r="J26" t="s">
        <v>120</v>
      </c>
      <c r="K26" t="s">
        <v>122</v>
      </c>
      <c r="L26" t="s">
        <v>121</v>
      </c>
      <c r="M26" t="s">
        <v>124</v>
      </c>
    </row>
    <row r="27" spans="1:13" ht="15.6" x14ac:dyDescent="0.35">
      <c r="A27" t="str">
        <f t="shared" ref="A27:A33" si="4">+A14</f>
        <v>g6p_c</v>
      </c>
      <c r="B27" t="s">
        <v>135</v>
      </c>
      <c r="C27">
        <v>6</v>
      </c>
      <c r="D27">
        <v>12</v>
      </c>
      <c r="E27">
        <v>0</v>
      </c>
      <c r="F27">
        <v>6</v>
      </c>
      <c r="H27" s="2">
        <f>+D14</f>
        <v>0.1</v>
      </c>
      <c r="I27">
        <f>+$H27*C27</f>
        <v>0.60000000000000009</v>
      </c>
      <c r="J27">
        <f>+$H27*D27</f>
        <v>1.2000000000000002</v>
      </c>
      <c r="K27">
        <f>+$H27*E27</f>
        <v>0</v>
      </c>
      <c r="L27">
        <f t="shared" ref="J27:M33" si="5">+$H27*F27</f>
        <v>0.60000000000000009</v>
      </c>
      <c r="M27">
        <f t="shared" si="5"/>
        <v>0</v>
      </c>
    </row>
    <row r="28" spans="1:13" x14ac:dyDescent="0.3">
      <c r="A28" t="str">
        <f t="shared" si="4"/>
        <v>glun6p_c</v>
      </c>
      <c r="B28" t="s">
        <v>138</v>
      </c>
      <c r="C28">
        <v>6</v>
      </c>
      <c r="D28">
        <v>13</v>
      </c>
      <c r="E28">
        <v>1</v>
      </c>
      <c r="F28">
        <v>5</v>
      </c>
      <c r="G28">
        <v>1</v>
      </c>
      <c r="H28" s="2">
        <f t="shared" ref="H28:H33" si="6">+D15</f>
        <v>0.1</v>
      </c>
      <c r="I28">
        <f t="shared" ref="I28:I33" si="7">+$H28*C28</f>
        <v>0.60000000000000009</v>
      </c>
      <c r="J28">
        <f t="shared" si="5"/>
        <v>1.3</v>
      </c>
      <c r="K28">
        <f t="shared" si="5"/>
        <v>0.1</v>
      </c>
      <c r="L28">
        <f t="shared" si="5"/>
        <v>0.5</v>
      </c>
      <c r="M28">
        <f t="shared" si="5"/>
        <v>0.1</v>
      </c>
    </row>
    <row r="29" spans="1:13" x14ac:dyDescent="0.3">
      <c r="A29" t="str">
        <f t="shared" si="4"/>
        <v>etn_c</v>
      </c>
      <c r="B29" t="s">
        <v>136</v>
      </c>
      <c r="C29">
        <v>2</v>
      </c>
      <c r="D29">
        <v>7</v>
      </c>
      <c r="E29">
        <v>1</v>
      </c>
      <c r="F29">
        <v>1</v>
      </c>
      <c r="H29" s="2">
        <f t="shared" si="6"/>
        <v>0.15</v>
      </c>
      <c r="I29">
        <f t="shared" si="7"/>
        <v>0.3</v>
      </c>
      <c r="J29">
        <f t="shared" si="5"/>
        <v>1.05</v>
      </c>
      <c r="K29">
        <f t="shared" si="5"/>
        <v>0.15</v>
      </c>
      <c r="L29">
        <f t="shared" si="5"/>
        <v>0.15</v>
      </c>
      <c r="M29">
        <f t="shared" si="5"/>
        <v>0</v>
      </c>
    </row>
    <row r="30" spans="1:13" x14ac:dyDescent="0.3">
      <c r="A30" t="str">
        <f t="shared" si="4"/>
        <v>rha_c</v>
      </c>
      <c r="B30" t="s">
        <v>137</v>
      </c>
      <c r="C30">
        <v>6</v>
      </c>
      <c r="D30">
        <v>12</v>
      </c>
      <c r="E30">
        <v>0</v>
      </c>
      <c r="F30">
        <v>5</v>
      </c>
      <c r="H30" s="2">
        <f t="shared" si="6"/>
        <v>0.05</v>
      </c>
      <c r="I30">
        <f t="shared" si="7"/>
        <v>0.30000000000000004</v>
      </c>
      <c r="J30">
        <f t="shared" si="5"/>
        <v>0.60000000000000009</v>
      </c>
      <c r="K30">
        <f t="shared" si="5"/>
        <v>0</v>
      </c>
      <c r="L30">
        <f t="shared" si="5"/>
        <v>0.25</v>
      </c>
      <c r="M30">
        <f t="shared" si="5"/>
        <v>0</v>
      </c>
    </row>
    <row r="31" spans="1:13" x14ac:dyDescent="0.3">
      <c r="A31" t="str">
        <f t="shared" si="4"/>
        <v>h7p_c</v>
      </c>
      <c r="B31" t="s">
        <v>139</v>
      </c>
      <c r="C31">
        <v>7</v>
      </c>
      <c r="D31">
        <v>15</v>
      </c>
      <c r="E31">
        <v>0</v>
      </c>
      <c r="F31">
        <v>10</v>
      </c>
      <c r="H31" s="2">
        <f t="shared" si="6"/>
        <v>0.15</v>
      </c>
      <c r="I31">
        <f t="shared" si="7"/>
        <v>1.05</v>
      </c>
      <c r="J31">
        <f t="shared" si="5"/>
        <v>2.25</v>
      </c>
      <c r="K31">
        <f t="shared" si="5"/>
        <v>0</v>
      </c>
      <c r="L31">
        <f t="shared" si="5"/>
        <v>1.5</v>
      </c>
      <c r="M31">
        <f t="shared" si="5"/>
        <v>0</v>
      </c>
    </row>
    <row r="32" spans="1:13" ht="28.8" x14ac:dyDescent="0.3">
      <c r="A32" t="str">
        <f t="shared" si="4"/>
        <v>kdo8p_c</v>
      </c>
      <c r="B32" s="5" t="s">
        <v>140</v>
      </c>
      <c r="C32">
        <v>8</v>
      </c>
      <c r="D32">
        <v>14</v>
      </c>
      <c r="E32">
        <v>0</v>
      </c>
      <c r="F32">
        <v>8</v>
      </c>
      <c r="H32" s="2">
        <f t="shared" si="6"/>
        <v>0.15</v>
      </c>
      <c r="I32">
        <f t="shared" si="7"/>
        <v>1.2</v>
      </c>
      <c r="J32">
        <f t="shared" si="5"/>
        <v>2.1</v>
      </c>
      <c r="K32">
        <f t="shared" si="5"/>
        <v>0</v>
      </c>
      <c r="L32">
        <f t="shared" si="5"/>
        <v>1.2</v>
      </c>
      <c r="M32">
        <f t="shared" si="5"/>
        <v>0</v>
      </c>
    </row>
    <row r="33" spans="1:13" x14ac:dyDescent="0.3">
      <c r="A33" t="str">
        <f t="shared" si="4"/>
        <v>mir__a_c</v>
      </c>
      <c r="B33" t="s">
        <v>141</v>
      </c>
      <c r="C33">
        <v>14</v>
      </c>
      <c r="D33">
        <v>28</v>
      </c>
      <c r="E33">
        <v>0</v>
      </c>
      <c r="F33">
        <v>2</v>
      </c>
      <c r="H33" s="2">
        <f t="shared" si="6"/>
        <v>0.30000000000000004</v>
      </c>
      <c r="I33">
        <f t="shared" si="7"/>
        <v>4.2000000000000011</v>
      </c>
      <c r="J33">
        <f t="shared" si="5"/>
        <v>8.4000000000000021</v>
      </c>
      <c r="K33">
        <f t="shared" si="5"/>
        <v>0</v>
      </c>
      <c r="L33">
        <f t="shared" si="5"/>
        <v>0.60000000000000009</v>
      </c>
      <c r="M33">
        <f t="shared" si="5"/>
        <v>0</v>
      </c>
    </row>
    <row r="34" spans="1:13" x14ac:dyDescent="0.3">
      <c r="H34" s="2"/>
      <c r="I34">
        <f>+SUM(I27:I33)</f>
        <v>8.2500000000000018</v>
      </c>
      <c r="J34">
        <f t="shared" ref="J34:M34" si="8">+SUM(J27:J33)</f>
        <v>16.900000000000002</v>
      </c>
      <c r="K34">
        <f t="shared" si="8"/>
        <v>0.25</v>
      </c>
      <c r="L34">
        <f t="shared" si="8"/>
        <v>4.8000000000000007</v>
      </c>
      <c r="M34">
        <f t="shared" si="8"/>
        <v>0.1</v>
      </c>
    </row>
    <row r="35" spans="1:13" x14ac:dyDescent="0.3">
      <c r="H35" s="2"/>
    </row>
    <row r="36" spans="1:13" x14ac:dyDescent="0.3">
      <c r="H36" s="2"/>
    </row>
    <row r="37" spans="1:13" x14ac:dyDescent="0.3">
      <c r="H37" s="2"/>
    </row>
    <row r="38" spans="1:13" x14ac:dyDescent="0.3">
      <c r="H38" s="2"/>
    </row>
    <row r="39" spans="1:13" x14ac:dyDescent="0.3">
      <c r="H39" s="2"/>
    </row>
    <row r="40" spans="1:13" x14ac:dyDescent="0.3">
      <c r="H40" s="2"/>
    </row>
    <row r="41" spans="1:13" x14ac:dyDescent="0.3">
      <c r="H41" s="2"/>
    </row>
    <row r="42" spans="1:13" x14ac:dyDescent="0.3">
      <c r="H42" s="2"/>
    </row>
    <row r="43" spans="1:13" x14ac:dyDescent="0.3">
      <c r="H43" s="2"/>
    </row>
    <row r="44" spans="1:13" x14ac:dyDescent="0.3">
      <c r="H4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4B27-E8E6-4442-88F8-5FDB033C2520}">
  <dimension ref="A1:H22"/>
  <sheetViews>
    <sheetView topLeftCell="A10" workbookViewId="0">
      <selection activeCell="A19" sqref="A19"/>
    </sheetView>
  </sheetViews>
  <sheetFormatPr baseColWidth="10" defaultRowHeight="14.4" x14ac:dyDescent="0.3"/>
  <sheetData>
    <row r="1" spans="1:8" x14ac:dyDescent="0.3">
      <c r="A1" t="s">
        <v>0</v>
      </c>
      <c r="B1" s="1">
        <v>0.55000000000000004</v>
      </c>
    </row>
    <row r="2" spans="1:8" x14ac:dyDescent="0.3">
      <c r="A2" t="s">
        <v>1</v>
      </c>
      <c r="B2" s="2">
        <v>0.20499999999999999</v>
      </c>
    </row>
    <row r="3" spans="1:8" x14ac:dyDescent="0.3">
      <c r="A3" t="s">
        <v>2</v>
      </c>
      <c r="B3" s="2">
        <v>3.1E-2</v>
      </c>
    </row>
    <row r="4" spans="1:8" x14ac:dyDescent="0.3">
      <c r="A4" t="s">
        <v>3</v>
      </c>
      <c r="B4" s="2">
        <v>9.0999999999999998E-2</v>
      </c>
    </row>
    <row r="5" spans="1:8" x14ac:dyDescent="0.3">
      <c r="A5" t="s">
        <v>4</v>
      </c>
      <c r="B5" s="2">
        <v>3.4000000000000002E-2</v>
      </c>
    </row>
    <row r="6" spans="1:8" x14ac:dyDescent="0.3">
      <c r="A6" t="s">
        <v>5</v>
      </c>
      <c r="B6" s="2">
        <v>2.5000000000000001E-2</v>
      </c>
    </row>
    <row r="7" spans="1:8" x14ac:dyDescent="0.3">
      <c r="A7" t="s">
        <v>6</v>
      </c>
      <c r="B7" s="2">
        <v>2.5000000000000001E-2</v>
      </c>
    </row>
    <row r="8" spans="1:8" x14ac:dyDescent="0.3">
      <c r="A8" t="s">
        <v>7</v>
      </c>
      <c r="B8" s="2">
        <v>4.0000000000000001E-3</v>
      </c>
    </row>
    <row r="9" spans="1:8" x14ac:dyDescent="0.3">
      <c r="A9" t="s">
        <v>8</v>
      </c>
      <c r="B9" s="2">
        <v>3.5000000000000003E-2</v>
      </c>
    </row>
    <row r="10" spans="1:8" x14ac:dyDescent="0.3">
      <c r="B10" s="1">
        <f>+SUM(B1:B9)</f>
        <v>1</v>
      </c>
    </row>
    <row r="13" spans="1:8" x14ac:dyDescent="0.3">
      <c r="A13" t="s">
        <v>45</v>
      </c>
      <c r="B13" t="s">
        <v>13</v>
      </c>
      <c r="C13" t="s">
        <v>16</v>
      </c>
      <c r="D13" t="s">
        <v>15</v>
      </c>
      <c r="E13" t="s">
        <v>23</v>
      </c>
    </row>
    <row r="14" spans="1:8" x14ac:dyDescent="0.3">
      <c r="A14" t="s">
        <v>42</v>
      </c>
      <c r="B14">
        <v>16.8</v>
      </c>
      <c r="C14">
        <f>+B14/1000</f>
        <v>1.6800000000000002E-2</v>
      </c>
      <c r="D14" s="3">
        <f>+B14/$B$21</f>
        <v>0.18181818181818182</v>
      </c>
      <c r="F14" t="str">
        <f>+_xlfn.CONCAT(TEXT(D14,"0,000")," ",A14)</f>
        <v>0,182 Acetilglucosamina</v>
      </c>
      <c r="H14" s="6" t="str" cm="1">
        <f t="array" ref="H14">+_xlfn.CONCAT(TRANSPOSE(F14:F20)&amp;" + ")</f>
        <v xml:space="preserve">0,182 Acetilglucosamina + 0,182 Acido acetil muramico + 0,273 Alanina + 0,091 Diaminopemilato + 0,273 Glutamato +  +  + </v>
      </c>
    </row>
    <row r="15" spans="1:8" x14ac:dyDescent="0.3">
      <c r="A15" t="s">
        <v>43</v>
      </c>
      <c r="B15">
        <v>16.8</v>
      </c>
      <c r="C15">
        <f t="shared" ref="C15:C18" si="0">+B15/1000</f>
        <v>1.6800000000000002E-2</v>
      </c>
      <c r="D15" s="3">
        <f t="shared" ref="D15:D18" si="1">+B15/$B$21</f>
        <v>0.18181818181818182</v>
      </c>
      <c r="F15" t="str">
        <f t="shared" ref="F15:F21" si="2">+_xlfn.CONCAT(TEXT(D15,"0,000")," ",A15)</f>
        <v>0,182 Acido acetil muramico</v>
      </c>
    </row>
    <row r="16" spans="1:8" x14ac:dyDescent="0.3">
      <c r="A16" t="s">
        <v>11</v>
      </c>
      <c r="B16">
        <v>25.2</v>
      </c>
      <c r="C16">
        <f t="shared" si="0"/>
        <v>2.52E-2</v>
      </c>
      <c r="D16" s="3">
        <f t="shared" si="1"/>
        <v>0.27272727272727271</v>
      </c>
      <c r="F16" t="str">
        <f t="shared" si="2"/>
        <v>0,273 Alanina</v>
      </c>
    </row>
    <row r="17" spans="1:8" x14ac:dyDescent="0.3">
      <c r="A17" t="s">
        <v>44</v>
      </c>
      <c r="B17">
        <v>8.4</v>
      </c>
      <c r="C17">
        <f t="shared" si="0"/>
        <v>8.4000000000000012E-3</v>
      </c>
      <c r="D17" s="3">
        <f t="shared" si="1"/>
        <v>9.0909090909090912E-2</v>
      </c>
      <c r="F17" t="str">
        <f t="shared" si="2"/>
        <v>0,091 Diaminopemilato</v>
      </c>
    </row>
    <row r="18" spans="1:8" x14ac:dyDescent="0.3">
      <c r="A18" t="s">
        <v>12</v>
      </c>
      <c r="B18">
        <v>25.2</v>
      </c>
      <c r="C18">
        <f t="shared" si="0"/>
        <v>2.52E-2</v>
      </c>
      <c r="D18" s="3">
        <f t="shared" si="1"/>
        <v>0.27272727272727271</v>
      </c>
      <c r="F18" t="str">
        <f t="shared" si="2"/>
        <v>0,273 Glutamato</v>
      </c>
      <c r="H18" s="6"/>
    </row>
    <row r="19" spans="1:8" x14ac:dyDescent="0.3">
      <c r="D19" s="3"/>
      <c r="H19" s="6" t="str">
        <f>+_xlfn.CONCAT(H14," --&gt; ",F21)</f>
        <v>0,182 Acetilglucosamina + 0,182 Acido acetil muramico + 0,273 Alanina + 0,091 Diaminopemilato + 0,273 Glutamato +  +  +  --&gt; 1,000 PG</v>
      </c>
    </row>
    <row r="20" spans="1:8" x14ac:dyDescent="0.3">
      <c r="D20" s="3"/>
      <c r="H20" t="str">
        <f>+_xlfn.CONCAT(F21," --&gt;","1,000 PG_biomass")</f>
        <v>1,000 PG --&gt;1,000 PG_biomass</v>
      </c>
    </row>
    <row r="21" spans="1:8" x14ac:dyDescent="0.3">
      <c r="A21" t="s">
        <v>45</v>
      </c>
      <c r="B21">
        <f>+SUM(B14:B20)</f>
        <v>92.4</v>
      </c>
      <c r="C21" s="9">
        <f>+SUM(C14:C20)</f>
        <v>9.240000000000001E-2</v>
      </c>
      <c r="D21">
        <f t="shared" ref="D21" si="3">+SUM(D14:D20)</f>
        <v>1</v>
      </c>
      <c r="F21" t="str">
        <f t="shared" si="2"/>
        <v>1,000 PG</v>
      </c>
    </row>
    <row r="22" spans="1:8" x14ac:dyDescent="0.3">
      <c r="H22" t="str">
        <f>+_xlfn.CONCAT(TEXT(C21,"0,000"), " PG_biomass --&gt; ",TEXT(B6,"0,000")," Biomass")</f>
        <v>0,092 PG_biomass --&gt; 0,025 Biomass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7983-8BE4-4B21-8CE4-371B3014CA47}">
  <dimension ref="A1:H22"/>
  <sheetViews>
    <sheetView topLeftCell="A10" workbookViewId="0">
      <selection activeCell="H14" sqref="H14"/>
    </sheetView>
  </sheetViews>
  <sheetFormatPr baseColWidth="10" defaultRowHeight="14.4" x14ac:dyDescent="0.3"/>
  <sheetData>
    <row r="1" spans="1:8" x14ac:dyDescent="0.3">
      <c r="A1" t="s">
        <v>0</v>
      </c>
      <c r="B1" s="1">
        <v>0.55000000000000004</v>
      </c>
    </row>
    <row r="2" spans="1:8" x14ac:dyDescent="0.3">
      <c r="A2" t="s">
        <v>1</v>
      </c>
      <c r="B2" s="2">
        <v>0.20499999999999999</v>
      </c>
    </row>
    <row r="3" spans="1:8" x14ac:dyDescent="0.3">
      <c r="A3" t="s">
        <v>2</v>
      </c>
      <c r="B3" s="2">
        <v>3.1E-2</v>
      </c>
    </row>
    <row r="4" spans="1:8" x14ac:dyDescent="0.3">
      <c r="A4" t="s">
        <v>3</v>
      </c>
      <c r="B4" s="2">
        <v>9.0999999999999998E-2</v>
      </c>
    </row>
    <row r="5" spans="1:8" x14ac:dyDescent="0.3">
      <c r="A5" t="s">
        <v>4</v>
      </c>
      <c r="B5" s="2">
        <v>3.4000000000000002E-2</v>
      </c>
    </row>
    <row r="6" spans="1:8" x14ac:dyDescent="0.3">
      <c r="A6" t="s">
        <v>5</v>
      </c>
      <c r="B6" s="2">
        <v>2.5000000000000001E-2</v>
      </c>
    </row>
    <row r="7" spans="1:8" x14ac:dyDescent="0.3">
      <c r="A7" t="s">
        <v>6</v>
      </c>
      <c r="B7" s="2">
        <v>2.5000000000000001E-2</v>
      </c>
    </row>
    <row r="8" spans="1:8" x14ac:dyDescent="0.3">
      <c r="A8" t="s">
        <v>7</v>
      </c>
      <c r="B8" s="2">
        <v>4.0000000000000001E-3</v>
      </c>
    </row>
    <row r="9" spans="1:8" x14ac:dyDescent="0.3">
      <c r="A9" t="s">
        <v>8</v>
      </c>
      <c r="B9" s="2">
        <v>3.5000000000000003E-2</v>
      </c>
    </row>
    <row r="10" spans="1:8" x14ac:dyDescent="0.3">
      <c r="B10" s="1">
        <f>+SUM(B1:B9)</f>
        <v>1</v>
      </c>
    </row>
    <row r="13" spans="1:8" x14ac:dyDescent="0.3">
      <c r="A13" t="s">
        <v>7</v>
      </c>
      <c r="B13" t="s">
        <v>13</v>
      </c>
      <c r="C13" t="s">
        <v>16</v>
      </c>
      <c r="D13" t="s">
        <v>15</v>
      </c>
      <c r="E13" t="s">
        <v>23</v>
      </c>
    </row>
    <row r="14" spans="1:8" x14ac:dyDescent="0.3">
      <c r="A14" t="s">
        <v>49</v>
      </c>
      <c r="B14">
        <v>34.1</v>
      </c>
      <c r="C14">
        <f>+B14/1000</f>
        <v>3.4099999999999998E-2</v>
      </c>
      <c r="D14" s="3">
        <f>+B14/$B$21</f>
        <v>0.82968369829683697</v>
      </c>
      <c r="F14" t="str">
        <f>+_xlfn.CONCAT(TEXT(D14,"0,000")," ",A14)</f>
        <v>0,830 Putrescina</v>
      </c>
      <c r="H14" s="6" t="str" cm="1">
        <f t="array" ref="H14">+_xlfn.CONCAT(TRANSPOSE(F14:F15)&amp;" + ")</f>
        <v xml:space="preserve">0,830 Putrescina + 0,170 Espermidina + </v>
      </c>
    </row>
    <row r="15" spans="1:8" x14ac:dyDescent="0.3">
      <c r="A15" t="s">
        <v>50</v>
      </c>
      <c r="B15">
        <v>7</v>
      </c>
      <c r="C15">
        <f t="shared" ref="C15" si="0">+B15/1000</f>
        <v>7.0000000000000001E-3</v>
      </c>
      <c r="D15" s="3">
        <f t="shared" ref="D15" si="1">+B15/$B$21</f>
        <v>0.170316301703163</v>
      </c>
      <c r="F15" t="str">
        <f t="shared" ref="F15:F21" si="2">+_xlfn.CONCAT(TEXT(D15,"0,000")," ",A15)</f>
        <v>0,170 Espermidina</v>
      </c>
    </row>
    <row r="16" spans="1:8" x14ac:dyDescent="0.3">
      <c r="D16" s="3"/>
    </row>
    <row r="17" spans="1:8" x14ac:dyDescent="0.3">
      <c r="D17" s="3"/>
    </row>
    <row r="18" spans="1:8" x14ac:dyDescent="0.3">
      <c r="D18" s="3"/>
      <c r="H18" s="6"/>
    </row>
    <row r="19" spans="1:8" x14ac:dyDescent="0.3">
      <c r="D19" s="3"/>
      <c r="H19" s="6" t="str">
        <f>+_xlfn.CONCAT(H14," --&gt; ",F21)</f>
        <v>0,830 Putrescina + 0,170 Espermidina +  --&gt; 1,000 POLIAM</v>
      </c>
    </row>
    <row r="20" spans="1:8" x14ac:dyDescent="0.3">
      <c r="D20" s="3"/>
      <c r="H20" t="str">
        <f>+_xlfn.CONCAT(F21," --&gt;","1,000 POLIAM_biomass")</f>
        <v>1,000 POLIAM --&gt;1,000 POLIAM_biomass</v>
      </c>
    </row>
    <row r="21" spans="1:8" x14ac:dyDescent="0.3">
      <c r="A21" t="s">
        <v>51</v>
      </c>
      <c r="B21">
        <f>+SUM(B14:B20)</f>
        <v>41.1</v>
      </c>
      <c r="C21" s="9">
        <f>+SUM(C14:C20)</f>
        <v>4.1099999999999998E-2</v>
      </c>
      <c r="D21">
        <f t="shared" ref="D21" si="3">+SUM(D14:D20)</f>
        <v>1</v>
      </c>
      <c r="F21" t="str">
        <f t="shared" si="2"/>
        <v>1,000 POLIAM</v>
      </c>
    </row>
    <row r="22" spans="1:8" x14ac:dyDescent="0.3">
      <c r="H22" t="str">
        <f>+_xlfn.CONCAT(TEXT(C21,"0,000"), " POLIAM_biomass --&gt; ",TEXT(B8,"0,000")," Biomass")</f>
        <v>0,041 POLIAM_biomass --&gt; 0,004 Biomass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8E08-3BF2-4821-A033-845049C73B1D}">
  <dimension ref="A1:H24"/>
  <sheetViews>
    <sheetView topLeftCell="A7" workbookViewId="0">
      <selection activeCell="E26" sqref="E26"/>
    </sheetView>
  </sheetViews>
  <sheetFormatPr baseColWidth="10" defaultRowHeight="14.4" x14ac:dyDescent="0.3"/>
  <sheetData>
    <row r="1" spans="1:8" x14ac:dyDescent="0.3">
      <c r="A1" t="s">
        <v>0</v>
      </c>
      <c r="B1" s="1">
        <v>0.55000000000000004</v>
      </c>
    </row>
    <row r="2" spans="1:8" x14ac:dyDescent="0.3">
      <c r="A2" t="s">
        <v>1</v>
      </c>
      <c r="B2" s="2">
        <v>0.20499999999999999</v>
      </c>
    </row>
    <row r="3" spans="1:8" x14ac:dyDescent="0.3">
      <c r="A3" t="s">
        <v>2</v>
      </c>
      <c r="B3" s="2">
        <v>3.1E-2</v>
      </c>
    </row>
    <row r="4" spans="1:8" x14ac:dyDescent="0.3">
      <c r="A4" t="s">
        <v>3</v>
      </c>
      <c r="B4" s="2">
        <v>9.0999999999999998E-2</v>
      </c>
    </row>
    <row r="5" spans="1:8" x14ac:dyDescent="0.3">
      <c r="A5" t="s">
        <v>4</v>
      </c>
      <c r="B5" s="2">
        <v>3.4000000000000002E-2</v>
      </c>
    </row>
    <row r="6" spans="1:8" x14ac:dyDescent="0.3">
      <c r="A6" t="s">
        <v>5</v>
      </c>
      <c r="B6" s="2">
        <v>2.5000000000000001E-2</v>
      </c>
    </row>
    <row r="7" spans="1:8" x14ac:dyDescent="0.3">
      <c r="A7" t="s">
        <v>6</v>
      </c>
      <c r="B7" s="2">
        <v>2.5000000000000001E-2</v>
      </c>
    </row>
    <row r="8" spans="1:8" x14ac:dyDescent="0.3">
      <c r="A8" t="s">
        <v>7</v>
      </c>
      <c r="B8" s="2">
        <v>4.0000000000000001E-3</v>
      </c>
    </row>
    <row r="9" spans="1:8" x14ac:dyDescent="0.3">
      <c r="A9" t="s">
        <v>8</v>
      </c>
      <c r="B9" s="2">
        <v>3.5000000000000003E-2</v>
      </c>
    </row>
    <row r="10" spans="1:8" x14ac:dyDescent="0.3">
      <c r="B10" s="1">
        <f>+SUM(B1:B9)</f>
        <v>1</v>
      </c>
    </row>
    <row r="13" spans="1:8" x14ac:dyDescent="0.3">
      <c r="A13" t="s">
        <v>52</v>
      </c>
      <c r="B13" t="s">
        <v>13</v>
      </c>
      <c r="C13" t="s">
        <v>16</v>
      </c>
      <c r="D13" t="s">
        <v>15</v>
      </c>
      <c r="E13" t="s">
        <v>23</v>
      </c>
    </row>
    <row r="14" spans="1:8" x14ac:dyDescent="0.3">
      <c r="A14" t="s">
        <v>102</v>
      </c>
      <c r="B14">
        <v>50</v>
      </c>
      <c r="C14">
        <f>+B14/1000</f>
        <v>0.05</v>
      </c>
      <c r="D14" s="3">
        <f>+B14/$B$24</f>
        <v>0.79706679419735382</v>
      </c>
      <c r="E14">
        <v>0</v>
      </c>
      <c r="F14" t="str">
        <f>+_xlfn.CONCAT(TEXT(D14,"0.000")," ",A14)</f>
        <v>0.797 thf_c</v>
      </c>
      <c r="H14" s="6" t="str" cm="1">
        <f t="array" ref="H14">+_xlfn.CONCAT(TRANSPOSE(F14:F22)&amp;" + ")</f>
        <v xml:space="preserve">0.797 thf_c + 0.034 nad_c + 0.001 nadh_c + 0.002 nadp_c + 0.006 nadph_c + 0.048 udp_c + 0.064 atp_c + 0.032 adp_c + 0.016 amp_c + </v>
      </c>
    </row>
    <row r="15" spans="1:8" x14ac:dyDescent="0.3">
      <c r="A15" t="s">
        <v>103</v>
      </c>
      <c r="B15">
        <v>2.15</v>
      </c>
      <c r="C15">
        <f t="shared" ref="C15:C22" si="0">+B15/1000</f>
        <v>2.15E-3</v>
      </c>
      <c r="D15" s="3">
        <f t="shared" ref="D15:D22" si="1">+B15/$B$24</f>
        <v>3.4273872150486211E-2</v>
      </c>
      <c r="F15" t="str">
        <f t="shared" ref="F15:F22" si="2">+_xlfn.CONCAT(TEXT(D15,"0.000")," ",A15)</f>
        <v>0.034 nad_c</v>
      </c>
    </row>
    <row r="16" spans="1:8" x14ac:dyDescent="0.3">
      <c r="A16" t="s">
        <v>104</v>
      </c>
      <c r="B16">
        <v>0.05</v>
      </c>
      <c r="C16">
        <f t="shared" si="0"/>
        <v>5.0000000000000002E-5</v>
      </c>
      <c r="D16" s="3">
        <f t="shared" si="1"/>
        <v>7.9706679419735385E-4</v>
      </c>
      <c r="F16" t="str">
        <f t="shared" si="2"/>
        <v>0.001 nadh_c</v>
      </c>
    </row>
    <row r="17" spans="1:8" x14ac:dyDescent="0.3">
      <c r="A17" t="s">
        <v>105</v>
      </c>
      <c r="B17">
        <v>0.13</v>
      </c>
      <c r="C17">
        <f t="shared" si="0"/>
        <v>1.3000000000000002E-4</v>
      </c>
      <c r="D17" s="3">
        <f t="shared" si="1"/>
        <v>2.07237366491312E-3</v>
      </c>
      <c r="F17" t="str">
        <f t="shared" si="2"/>
        <v>0.002 nadp_c</v>
      </c>
    </row>
    <row r="18" spans="1:8" x14ac:dyDescent="0.3">
      <c r="A18" t="s">
        <v>106</v>
      </c>
      <c r="B18">
        <v>0.4</v>
      </c>
      <c r="C18">
        <f t="shared" si="0"/>
        <v>4.0000000000000002E-4</v>
      </c>
      <c r="D18" s="3">
        <f t="shared" si="1"/>
        <v>6.3765343535788308E-3</v>
      </c>
      <c r="F18" t="str">
        <f t="shared" si="2"/>
        <v>0.006 nadph_c</v>
      </c>
      <c r="H18" s="6"/>
    </row>
    <row r="19" spans="1:8" x14ac:dyDescent="0.3">
      <c r="A19" t="s">
        <v>107</v>
      </c>
      <c r="B19">
        <v>3</v>
      </c>
      <c r="C19">
        <f t="shared" si="0"/>
        <v>3.0000000000000001E-3</v>
      </c>
      <c r="D19" s="3">
        <f t="shared" si="1"/>
        <v>4.7824007651841229E-2</v>
      </c>
      <c r="F19" t="str">
        <f t="shared" si="2"/>
        <v>0.048 udp_c</v>
      </c>
      <c r="H19" s="6" t="str">
        <f>+_xlfn.CONCAT(H14," --&gt; ",F24)</f>
        <v>0.797 thf_c + 0.034 nad_c + 0.001 nadh_c + 0.002 nadp_c + 0.006 nadph_c + 0.048 udp_c + 0.064 atp_c + 0.032 adp_c + 0.016 amp_c +  --&gt; 1.000 om_c</v>
      </c>
    </row>
    <row r="20" spans="1:8" x14ac:dyDescent="0.3">
      <c r="A20" t="s">
        <v>108</v>
      </c>
      <c r="B20">
        <v>4</v>
      </c>
      <c r="C20">
        <f t="shared" si="0"/>
        <v>4.0000000000000001E-3</v>
      </c>
      <c r="D20" s="3">
        <f t="shared" si="1"/>
        <v>6.3765343535788305E-2</v>
      </c>
      <c r="F20" t="str">
        <f t="shared" si="2"/>
        <v>0.064 atp_c</v>
      </c>
      <c r="H20" t="str">
        <f>+_xlfn.CONCAT(F24," --&gt;","1,000 om_biomass")</f>
        <v>1.000 om_c --&gt;1,000 om_biomass</v>
      </c>
    </row>
    <row r="21" spans="1:8" x14ac:dyDescent="0.3">
      <c r="A21" t="s">
        <v>109</v>
      </c>
      <c r="B21">
        <v>2</v>
      </c>
      <c r="C21">
        <f t="shared" si="0"/>
        <v>2E-3</v>
      </c>
      <c r="D21" s="3">
        <f t="shared" si="1"/>
        <v>3.1882671767894152E-2</v>
      </c>
      <c r="F21" t="str">
        <f t="shared" si="2"/>
        <v>0.032 adp_c</v>
      </c>
    </row>
    <row r="22" spans="1:8" x14ac:dyDescent="0.3">
      <c r="A22" t="s">
        <v>62</v>
      </c>
      <c r="B22">
        <v>1</v>
      </c>
      <c r="C22">
        <f t="shared" si="0"/>
        <v>1E-3</v>
      </c>
      <c r="D22" s="3">
        <f t="shared" si="1"/>
        <v>1.5941335883947076E-2</v>
      </c>
      <c r="F22" t="str">
        <f t="shared" si="2"/>
        <v>0.016 amp_c</v>
      </c>
      <c r="H22" t="str">
        <f>+_xlfn.CONCAT(TEXT(C14,"0,000"), " OM_biomass --&gt; ",TEXT(B9,"0,000")," Biomass")</f>
        <v>0,050 OM_biomass --&gt; 0,035 Biomass</v>
      </c>
    </row>
    <row r="24" spans="1:8" x14ac:dyDescent="0.3">
      <c r="A24" t="s">
        <v>110</v>
      </c>
      <c r="B24" s="9">
        <f>+SUM(B14:B22)</f>
        <v>62.73</v>
      </c>
      <c r="C24" s="9">
        <f>+SUM(C14:C22)</f>
        <v>6.2730000000000008E-2</v>
      </c>
      <c r="D24" s="9">
        <f>+SUM(D14:D22)</f>
        <v>1</v>
      </c>
      <c r="F24" t="str">
        <f>+_xlfn.CONCAT(TEXT(D24,"0.000")," ",A24)</f>
        <v>1.000 om_c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4A6C-8803-4C23-9D19-212117C92F77}">
  <dimension ref="A1:H25"/>
  <sheetViews>
    <sheetView topLeftCell="A11" workbookViewId="0">
      <selection activeCell="E26" sqref="E26"/>
    </sheetView>
  </sheetViews>
  <sheetFormatPr baseColWidth="10" defaultRowHeight="14.4" x14ac:dyDescent="0.3"/>
  <sheetData>
    <row r="1" spans="1:8" x14ac:dyDescent="0.3">
      <c r="A1" t="s">
        <v>0</v>
      </c>
      <c r="B1" s="1">
        <v>0.55000000000000004</v>
      </c>
    </row>
    <row r="2" spans="1:8" x14ac:dyDescent="0.3">
      <c r="A2" t="s">
        <v>1</v>
      </c>
      <c r="B2" s="2">
        <v>0.20499999999999999</v>
      </c>
    </row>
    <row r="3" spans="1:8" x14ac:dyDescent="0.3">
      <c r="A3" t="s">
        <v>2</v>
      </c>
      <c r="B3" s="2">
        <v>3.1E-2</v>
      </c>
    </row>
    <row r="4" spans="1:8" x14ac:dyDescent="0.3">
      <c r="A4" t="s">
        <v>3</v>
      </c>
      <c r="B4" s="2">
        <v>9.0999999999999998E-2</v>
      </c>
    </row>
    <row r="5" spans="1:8" x14ac:dyDescent="0.3">
      <c r="A5" t="s">
        <v>4</v>
      </c>
      <c r="B5" s="2">
        <v>3.4000000000000002E-2</v>
      </c>
    </row>
    <row r="6" spans="1:8" x14ac:dyDescent="0.3">
      <c r="A6" t="s">
        <v>5</v>
      </c>
      <c r="B6" s="2">
        <v>2.5000000000000001E-2</v>
      </c>
    </row>
    <row r="7" spans="1:8" x14ac:dyDescent="0.3">
      <c r="A7" t="s">
        <v>6</v>
      </c>
      <c r="B7" s="2">
        <v>2.5000000000000001E-2</v>
      </c>
    </row>
    <row r="8" spans="1:8" x14ac:dyDescent="0.3">
      <c r="A8" t="s">
        <v>7</v>
      </c>
      <c r="B8" s="2">
        <v>4.0000000000000001E-3</v>
      </c>
    </row>
    <row r="9" spans="1:8" x14ac:dyDescent="0.3">
      <c r="A9" t="s">
        <v>8</v>
      </c>
      <c r="B9" s="2">
        <v>3.5000000000000003E-2</v>
      </c>
    </row>
    <row r="10" spans="1:8" x14ac:dyDescent="0.3">
      <c r="B10" s="1">
        <f>+SUM(B1:B9)</f>
        <v>1</v>
      </c>
    </row>
    <row r="13" spans="1:8" x14ac:dyDescent="0.3">
      <c r="A13" t="s">
        <v>46</v>
      </c>
      <c r="B13" t="s">
        <v>13</v>
      </c>
      <c r="C13" t="s">
        <v>16</v>
      </c>
      <c r="D13" t="s">
        <v>15</v>
      </c>
      <c r="E13" t="s">
        <v>23</v>
      </c>
    </row>
    <row r="14" spans="1:8" x14ac:dyDescent="0.3">
      <c r="A14" t="s">
        <v>47</v>
      </c>
      <c r="B14">
        <v>154</v>
      </c>
      <c r="C14">
        <f>+B14/1000</f>
        <v>0.154</v>
      </c>
      <c r="D14" s="3">
        <f>+B14/$B$21</f>
        <v>1</v>
      </c>
      <c r="F14" t="str">
        <f>+_xlfn.CONCAT(TEXT(D14,"0,000")," ",A14)</f>
        <v>1,000 Residuos Glucosil</v>
      </c>
      <c r="H14" s="6" t="str" cm="1">
        <f t="array" ref="H14">+_xlfn.CONCAT(TRANSPOSE(F14)&amp;" + ")</f>
        <v xml:space="preserve">1,000 Residuos Glucosil + </v>
      </c>
    </row>
    <row r="15" spans="1:8" x14ac:dyDescent="0.3">
      <c r="D15" s="3"/>
    </row>
    <row r="16" spans="1:8" x14ac:dyDescent="0.3">
      <c r="D16" s="3"/>
    </row>
    <row r="17" spans="1:8" x14ac:dyDescent="0.3">
      <c r="D17" s="3"/>
    </row>
    <row r="18" spans="1:8" x14ac:dyDescent="0.3">
      <c r="D18" s="3"/>
      <c r="H18" s="6"/>
    </row>
    <row r="19" spans="1:8" x14ac:dyDescent="0.3">
      <c r="D19" s="3"/>
      <c r="H19" s="6" t="str">
        <f>+_xlfn.CONCAT(H14," --&gt; ",F21)</f>
        <v>1,000 Residuos Glucosil +  --&gt; 1,000 CARBOH</v>
      </c>
    </row>
    <row r="20" spans="1:8" x14ac:dyDescent="0.3">
      <c r="D20" s="3"/>
      <c r="H20" t="str">
        <f>+_xlfn.CONCAT(F21," --&gt;","1,000 CARBOH_biomass")</f>
        <v>1,000 CARBOH --&gt;1,000 CARBOH_biomass</v>
      </c>
    </row>
    <row r="21" spans="1:8" x14ac:dyDescent="0.3">
      <c r="A21" t="s">
        <v>48</v>
      </c>
      <c r="B21">
        <f>+SUM(B14:B20)</f>
        <v>154</v>
      </c>
      <c r="C21" s="9">
        <f>+SUM(C14:C20)</f>
        <v>0.154</v>
      </c>
      <c r="D21">
        <f t="shared" ref="D21" si="0">+SUM(D14:D20)</f>
        <v>1</v>
      </c>
      <c r="F21" t="str">
        <f t="shared" ref="F21" si="1">+_xlfn.CONCAT(TEXT(D21,"0,000")," ",A21)</f>
        <v>1,000 CARBOH</v>
      </c>
    </row>
    <row r="22" spans="1:8" x14ac:dyDescent="0.3">
      <c r="H22" t="str">
        <f>+_xlfn.CONCAT(TEXT(C21,"0,000"), " CARBOH_biomass --&gt; ",TEXT(B7,"0,000")," Biomass")</f>
        <v>0,154 CARBOH_biomass --&gt; 0,025 Biomass</v>
      </c>
    </row>
    <row r="24" spans="1:8" x14ac:dyDescent="0.3">
      <c r="B24" t="s">
        <v>119</v>
      </c>
      <c r="C24" t="s">
        <v>120</v>
      </c>
      <c r="D24" t="s">
        <v>122</v>
      </c>
      <c r="E24" t="s">
        <v>121</v>
      </c>
    </row>
    <row r="25" spans="1:8" x14ac:dyDescent="0.3">
      <c r="A25" t="s">
        <v>142</v>
      </c>
      <c r="B25">
        <v>6</v>
      </c>
      <c r="C25">
        <v>12</v>
      </c>
      <c r="D25">
        <v>0</v>
      </c>
      <c r="E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Resumen</vt:lpstr>
      <vt:lpstr>Hoja1</vt:lpstr>
      <vt:lpstr>Proteina</vt:lpstr>
      <vt:lpstr>DNA</vt:lpstr>
      <vt:lpstr>RNA</vt:lpstr>
      <vt:lpstr>Lipidos</vt:lpstr>
      <vt:lpstr>Lipopolisacaridos</vt:lpstr>
      <vt:lpstr>PG</vt:lpstr>
      <vt:lpstr>POLIAM</vt:lpstr>
      <vt:lpstr>OM</vt:lpstr>
      <vt:lpstr>CarboH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2021-08-19T21:26:43Z</dcterms:created>
  <dcterms:modified xsi:type="dcterms:W3CDTF">2022-04-28T04:54:50Z</dcterms:modified>
</cp:coreProperties>
</file>